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verages and catches" sheetId="1" r:id="rId1"/>
    <sheet name="Batting (data)" sheetId="2" r:id="rId2"/>
    <sheet name="Bowling (data)" sheetId="3" r:id="rId3"/>
  </sheets>
  <definedNames/>
  <calcPr fullCalcOnLoad="1"/>
  <pivotCaches>
    <pivotCache cacheId="4" r:id="rId4"/>
    <pivotCache cacheId="3" r:id="rId5"/>
    <pivotCache cacheId="6" r:id="rId6"/>
    <pivotCache cacheId="2" r:id="rId7"/>
  </pivotCaches>
</workbook>
</file>

<file path=xl/sharedStrings.xml><?xml version="1.0" encoding="utf-8"?>
<sst xmlns="http://schemas.openxmlformats.org/spreadsheetml/2006/main" count="1105" uniqueCount="133">
  <si>
    <t>Name</t>
  </si>
  <si>
    <t>Catches</t>
  </si>
  <si>
    <t>James Dutton</t>
  </si>
  <si>
    <t>Duncan Rance</t>
  </si>
  <si>
    <t>Steve Lyall</t>
  </si>
  <si>
    <t>Tom Carney</t>
  </si>
  <si>
    <t>Paul Wilson</t>
  </si>
  <si>
    <t>Paul Martin (Betty)</t>
  </si>
  <si>
    <t>Rob Branaston (Pickles)</t>
  </si>
  <si>
    <t>Gregory Sankaran</t>
  </si>
  <si>
    <t>Ian Bezodis</t>
  </si>
  <si>
    <t>Adam Dziedzic (Sally)</t>
  </si>
  <si>
    <t>Rhodri Morgan</t>
  </si>
  <si>
    <t>Kevin  Robinson</t>
  </si>
  <si>
    <t>Mark Hornsey</t>
  </si>
  <si>
    <t>Luke Turner (Ruth)</t>
  </si>
  <si>
    <t>James Coughlan (Toni)</t>
  </si>
  <si>
    <t>Bath University Venturers cricket club 2004 batting averages</t>
  </si>
  <si>
    <t>Game type</t>
  </si>
  <si>
    <t>Runs</t>
  </si>
  <si>
    <t>How out</t>
  </si>
  <si>
    <t>Adrian</t>
  </si>
  <si>
    <t>Caught</t>
  </si>
  <si>
    <t>Simon Elliman</t>
  </si>
  <si>
    <t>Bowled</t>
  </si>
  <si>
    <t>LBW</t>
  </si>
  <si>
    <t>Stumped</t>
  </si>
  <si>
    <t>Not Out</t>
  </si>
  <si>
    <t>John Cook</t>
  </si>
  <si>
    <t>Run Out</t>
  </si>
  <si>
    <t>Duncan Lee (Bettina)</t>
  </si>
  <si>
    <t>Mike Whittlesay</t>
  </si>
  <si>
    <t>Alex Cox</t>
  </si>
  <si>
    <t>Paul Snow</t>
  </si>
  <si>
    <t>John Harris</t>
  </si>
  <si>
    <t>Kartyk</t>
  </si>
  <si>
    <t>Paul Bird</t>
  </si>
  <si>
    <t>David Sykes</t>
  </si>
  <si>
    <t>Barrie Cooper</t>
  </si>
  <si>
    <t>Tim Taylor</t>
  </si>
  <si>
    <t>Neil Pollock</t>
  </si>
  <si>
    <t>Glyn Flinders (Polly)</t>
  </si>
  <si>
    <t>Total</t>
  </si>
  <si>
    <t>Sum of Runs</t>
  </si>
  <si>
    <t>Dismissals</t>
  </si>
  <si>
    <t>Data</t>
  </si>
  <si>
    <t>Sum of Dismissals</t>
  </si>
  <si>
    <t>Total Sum of Runs</t>
  </si>
  <si>
    <t>Total Sum of Dismissals</t>
  </si>
  <si>
    <t>Adam Dziedzic (Sally) Sum of Runs</t>
  </si>
  <si>
    <t>Adam Dziedzic (Sally) Sum of Dismissals</t>
  </si>
  <si>
    <t>Adrian Sum of Runs</t>
  </si>
  <si>
    <t>Adrian Sum of Dismissals</t>
  </si>
  <si>
    <t>Alex Cox Sum of Runs</t>
  </si>
  <si>
    <t>Alex Cox Sum of Dismissals</t>
  </si>
  <si>
    <t>Barrie Cooper Sum of Runs</t>
  </si>
  <si>
    <t>Barrie Cooper Sum of Dismissals</t>
  </si>
  <si>
    <t>David Sykes Sum of Runs</t>
  </si>
  <si>
    <t>David Sykes Sum of Dismissals</t>
  </si>
  <si>
    <t>Duncan Lee (Bettina) Sum of Runs</t>
  </si>
  <si>
    <t>Duncan Lee (Bettina) Sum of Dismissals</t>
  </si>
  <si>
    <t>Duncan Rance Sum of Runs</t>
  </si>
  <si>
    <t>Duncan Rance Sum of Dismissals</t>
  </si>
  <si>
    <t>Glyn Flinders (Polly) Sum of Runs</t>
  </si>
  <si>
    <t>Glyn Flinders (Polly) Sum of Dismissals</t>
  </si>
  <si>
    <t>Gregory Sankaran Sum of Runs</t>
  </si>
  <si>
    <t>Gregory Sankaran Sum of Dismissals</t>
  </si>
  <si>
    <t>Ian Bezodis Sum of Runs</t>
  </si>
  <si>
    <t>Ian Bezodis Sum of Dismissals</t>
  </si>
  <si>
    <t>James Coughlan (Toni) Sum of Runs</t>
  </si>
  <si>
    <t>James Coughlan (Toni) Sum of Dismissals</t>
  </si>
  <si>
    <t>James Dutton Sum of Runs</t>
  </si>
  <si>
    <t>James Dutton Sum of Dismissals</t>
  </si>
  <si>
    <t>John Cook Sum of Runs</t>
  </si>
  <si>
    <t>John Cook Sum of Dismissals</t>
  </si>
  <si>
    <t>John Harris Sum of Runs</t>
  </si>
  <si>
    <t>John Harris Sum of Dismissals</t>
  </si>
  <si>
    <t>Kartyk Sum of Runs</t>
  </si>
  <si>
    <t>Kartyk Sum of Dismissals</t>
  </si>
  <si>
    <t>Kevin  Robinson Sum of Runs</t>
  </si>
  <si>
    <t>Kevin  Robinson Sum of Dismissals</t>
  </si>
  <si>
    <t>Luke Turner (Ruth) Sum of Runs</t>
  </si>
  <si>
    <t>Luke Turner (Ruth) Sum of Dismissals</t>
  </si>
  <si>
    <t>Mark Hornsey Sum of Runs</t>
  </si>
  <si>
    <t>Mark Hornsey Sum of Dismissals</t>
  </si>
  <si>
    <t>Neil Pollock Sum of Runs</t>
  </si>
  <si>
    <t>Neil Pollock Sum of Dismissals</t>
  </si>
  <si>
    <t>Paul Bird Sum of Runs</t>
  </si>
  <si>
    <t>Paul Bird Sum of Dismissals</t>
  </si>
  <si>
    <t>Paul Martin (Betty) Sum of Runs</t>
  </si>
  <si>
    <t>Paul Martin (Betty) Sum of Dismissals</t>
  </si>
  <si>
    <t>Paul Snow Sum of Runs</t>
  </si>
  <si>
    <t>Paul Snow Sum of Dismissals</t>
  </si>
  <si>
    <t>Paul Wilson Sum of Runs</t>
  </si>
  <si>
    <t>Paul Wilson Sum of Dismissals</t>
  </si>
  <si>
    <t>Rhodri Morgan Sum of Runs</t>
  </si>
  <si>
    <t>Rhodri Morgan Sum of Dismissals</t>
  </si>
  <si>
    <t>Rob Branaston (Pickles) Sum of Runs</t>
  </si>
  <si>
    <t>Rob Branaston (Pickles) Sum of Dismissals</t>
  </si>
  <si>
    <t>Simon Elliman Sum of Runs</t>
  </si>
  <si>
    <t>Simon Elliman Sum of Dismissals</t>
  </si>
  <si>
    <t>Steve Lyall Sum of Runs</t>
  </si>
  <si>
    <t>Steve Lyall Sum of Dismissals</t>
  </si>
  <si>
    <t>Tim Taylor Sum of Runs</t>
  </si>
  <si>
    <t>Tim Taylor Sum of Dismissals</t>
  </si>
  <si>
    <t>Tom Carney Sum of Runs</t>
  </si>
  <si>
    <t>Tom Carney Sum of Dismissals</t>
  </si>
  <si>
    <t>Batting averages 2004</t>
  </si>
  <si>
    <t>Average 40 overs</t>
  </si>
  <si>
    <t>Average Total</t>
  </si>
  <si>
    <t>Average 20 overs</t>
  </si>
  <si>
    <t>NA</t>
  </si>
  <si>
    <t>Bath University Venturers cricket club Season 2004</t>
  </si>
  <si>
    <t>Player</t>
  </si>
  <si>
    <t>Batting</t>
  </si>
  <si>
    <t>Bowling</t>
  </si>
  <si>
    <t>Bath University Venturers cricket club 2004 bowling averages</t>
  </si>
  <si>
    <t>Overs</t>
  </si>
  <si>
    <t>Wickets</t>
  </si>
  <si>
    <t>Mike Whittlesy</t>
  </si>
  <si>
    <t>Sum of Wickets</t>
  </si>
  <si>
    <t>Total Sum of Wickets</t>
  </si>
  <si>
    <t>Sum of Overs</t>
  </si>
  <si>
    <t>Total Sum of Overs</t>
  </si>
  <si>
    <t>Grand Total</t>
  </si>
  <si>
    <t>runs per wicket</t>
  </si>
  <si>
    <t>Runs per over</t>
  </si>
  <si>
    <t>Runs per wicket</t>
  </si>
  <si>
    <t>-</t>
  </si>
  <si>
    <t>Rob Branston (Pickles)</t>
  </si>
  <si>
    <t>Averages</t>
  </si>
  <si>
    <t>Mike Whittlesy Sum of Runs</t>
  </si>
  <si>
    <t>Mike Whittlesy Sum of Dismissals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</si>
</sst>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1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2" fontId="0" fillId="2" borderId="11" xfId="0" applyNumberForma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2" fontId="0" fillId="4" borderId="15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0" fillId="4" borderId="18" xfId="0" applyNumberFormat="1" applyFill="1" applyBorder="1" applyAlignment="1">
      <alignment horizontal="right"/>
    </xf>
    <xf numFmtId="2" fontId="0" fillId="4" borderId="19" xfId="0" applyNumberFormat="1" applyFill="1" applyBorder="1" applyAlignment="1">
      <alignment horizontal="right"/>
    </xf>
    <xf numFmtId="2" fontId="0" fillId="4" borderId="20" xfId="0" applyNumberForma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Alignment="1">
      <alignment horizontal="center"/>
    </xf>
    <xf numFmtId="0" fontId="3" fillId="3" borderId="13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right"/>
    </xf>
    <xf numFmtId="2" fontId="0" fillId="4" borderId="10" xfId="0" applyNumberForma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0" xfId="0" applyFill="1" applyBorder="1" applyAlignment="1">
      <alignment/>
    </xf>
    <xf numFmtId="2" fontId="0" fillId="2" borderId="15" xfId="0" applyNumberFormat="1" applyFill="1" applyBorder="1" applyAlignment="1">
      <alignment horizontal="right"/>
    </xf>
    <xf numFmtId="2" fontId="0" fillId="2" borderId="16" xfId="0" applyNumberForma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2" fontId="0" fillId="2" borderId="17" xfId="0" applyNumberFormat="1" applyFill="1" applyBorder="1" applyAlignment="1">
      <alignment horizontal="right"/>
    </xf>
    <xf numFmtId="2" fontId="0" fillId="2" borderId="18" xfId="0" applyNumberFormat="1" applyFill="1" applyBorder="1" applyAlignment="1">
      <alignment horizontal="right"/>
    </xf>
    <xf numFmtId="2" fontId="0" fillId="2" borderId="19" xfId="0" applyNumberFormat="1" applyFill="1" applyBorder="1" applyAlignment="1">
      <alignment horizontal="right"/>
    </xf>
    <xf numFmtId="2" fontId="0" fillId="2" borderId="20" xfId="0" applyNumberFormat="1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93" sheet="Batting (data)"/>
  </cacheSource>
  <cacheFields count="5">
    <cacheField name="Name">
      <sharedItems containsMixedTypes="0" count="31">
        <s v="Adrian"/>
        <s v="Simon Elliman"/>
        <s v="Kevin  Robinson"/>
        <s v="John Cook"/>
        <s v="Paul Martin (Betty)"/>
        <s v="Tom Carney"/>
        <s v="Mark Hornsey"/>
        <s v="Duncan Lee (Bettina)"/>
        <s v="James Dutton"/>
        <s v="Rob Branaston (Pickles)"/>
        <s v="Gregory Sankaran"/>
        <s v="Paul Wilson"/>
        <s v="Rhodri Morgan"/>
        <s v="Mike Whittlesy"/>
        <s v="Alex Cox"/>
        <s v="Paul Snow"/>
        <s v="James Coughlan (Toni)"/>
        <s v="John Harris"/>
        <s v="Steve Lyall"/>
        <s v="Kartyk"/>
        <s v="Luke Turner (Ruth)"/>
        <s v="Adam Dziedzic (Sally)"/>
        <s v="Ian Bezodis"/>
        <s v="Duncan Rance"/>
        <s v="Paul Bird"/>
        <s v="David Sykes"/>
        <s v="Barrie Cooper"/>
        <s v="Tim Taylor"/>
        <s v="Neil Pollock"/>
        <s v="Glyn Flinders (Polly)"/>
        <s v="Mike Whittlesay"/>
      </sharedItems>
    </cacheField>
    <cacheField name="Game type">
      <sharedItems containsSemiMixedTypes="0" containsString="0" containsMixedTypes="0" containsNumber="1" containsInteger="1" count="2">
        <n v="40"/>
        <n v="20"/>
      </sharedItems>
    </cacheField>
    <cacheField name="Runs">
      <sharedItems containsSemiMixedTypes="0" containsString="0" containsMixedTypes="0" containsNumber="1" containsInteger="1"/>
    </cacheField>
    <cacheField name="How out">
      <sharedItems containsMixedTypes="0" count="6">
        <s v="Caught"/>
        <s v="Bowled"/>
        <s v="LBW"/>
        <s v="Stumped"/>
        <s v="Not Out"/>
        <s v="Run Out"/>
      </sharedItems>
    </cacheField>
    <cacheField name="Dismissals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30" sheet="Bowling (data)"/>
  </cacheSource>
  <cacheFields count="5">
    <cacheField name="Name">
      <sharedItems containsMixedTypes="0" count="24">
        <s v="Duncan Lee (Bettina)"/>
        <s v="Rob Branaston (Pickles)"/>
        <s v="Gregory Sankaran"/>
        <s v="Kevin  Robinson"/>
        <s v="Simon Elliman"/>
        <s v="John Cook"/>
        <s v="Tom Carney"/>
        <s v="James Dutton"/>
        <s v="James Coughlan (Toni)"/>
        <s v="Kartyk"/>
        <s v="John Harris"/>
        <s v="Paul Snow"/>
        <s v="Rhodri Morgan"/>
        <s v="Mike Whittlesy"/>
        <s v="Mark Hornsey"/>
        <s v="Adam Dziedzic (Sally)"/>
        <s v="Ian Bezodis"/>
        <s v="Luke Turner (Ruth)"/>
        <s v="Paul Wilson"/>
        <s v="Glyn Flinders (Polly)"/>
        <s v="Duncan Rance"/>
        <s v="Neil Pollock"/>
        <s v="Barrie Cooper"/>
        <s v="Alex Cox"/>
      </sharedItems>
    </cacheField>
    <cacheField name="Game type">
      <sharedItems containsSemiMixedTypes="0" containsString="0" containsMixedTypes="0" containsNumber="1" containsInteger="1" count="3">
        <n v="40"/>
        <n v="20"/>
        <n v="29"/>
      </sharedItems>
    </cacheField>
    <cacheField name="Overs">
      <sharedItems containsSemiMixedTypes="0" containsString="0" containsMixedTypes="0" containsNumber="1" count="15">
        <n v="6"/>
        <n v="4"/>
        <n v="3"/>
        <n v="9"/>
        <n v="2"/>
        <n v="7"/>
        <n v="8"/>
        <n v="5"/>
        <n v="1"/>
        <n v="2.3"/>
        <n v="1.2"/>
        <n v="2.4"/>
        <n v="3.2"/>
        <n v="3.3"/>
        <n v="1.4"/>
      </sharedItems>
    </cacheField>
    <cacheField name="Runs">
      <sharedItems containsSemiMixedTypes="0" containsString="0" containsMixedTypes="0" containsNumber="1" containsInteger="1"/>
    </cacheField>
    <cacheField name="Wickets">
      <sharedItems containsSemiMixedTypes="0" containsString="0" containsMixedTypes="0" containsNumber="1" containsInteger="1" count="5">
        <n v="0"/>
        <n v="1"/>
        <n v="2"/>
        <n v="3"/>
        <n v="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30" sheet="Bowling (data)"/>
  </cacheSource>
  <cacheFields count="5">
    <cacheField name="Name">
      <sharedItems containsMixedTypes="0" count="24">
        <s v="Duncan Lee (Bettina)"/>
        <s v="Rob Branaston (Pickles)"/>
        <s v="Gregory Sankaran"/>
        <s v="Kevin  Robinson"/>
        <s v="Simon Elliman"/>
        <s v="John Cook"/>
        <s v="Tom Carney"/>
        <s v="James Dutton"/>
        <s v="James Coughlan (Toni)"/>
        <s v="Kartyk"/>
        <s v="John Harris"/>
        <s v="Paul Snow"/>
        <s v="Rhodri Morgan"/>
        <s v="Mike Whittlesy"/>
        <s v="Mark Hornsey"/>
        <s v="Adam Dziedzic (Sally)"/>
        <s v="Ian Bezodis"/>
        <s v="Luke Turner (Ruth)"/>
        <s v="Paul Wilson"/>
        <s v="Glyn Flinders (Polly)"/>
        <s v="Duncan Rance"/>
        <s v="Neil Pollock"/>
        <s v="Barrie Cooper"/>
        <s v="Alex Cox"/>
      </sharedItems>
    </cacheField>
    <cacheField name="Game type">
      <sharedItems containsSemiMixedTypes="0" containsString="0" containsMixedTypes="0" containsNumber="1" containsInteger="1" count="2">
        <n v="40"/>
        <n v="20"/>
      </sharedItems>
    </cacheField>
    <cacheField name="Overs">
      <sharedItems containsSemiMixedTypes="0" containsString="0" containsMixedTypes="0" containsNumber="1" count="15">
        <n v="6"/>
        <n v="4"/>
        <n v="3"/>
        <n v="9"/>
        <n v="2"/>
        <n v="7"/>
        <n v="8"/>
        <n v="5"/>
        <n v="1"/>
        <n v="2.3"/>
        <n v="1.2"/>
        <n v="2.4"/>
        <n v="3.2"/>
        <n v="3.3"/>
        <n v="1.4"/>
      </sharedItems>
    </cacheField>
    <cacheField name="Runs">
      <sharedItems containsSemiMixedTypes="0" containsString="0" containsMixedTypes="0" containsNumber="1" containsInteger="1"/>
    </cacheField>
    <cacheField name="Wickets">
      <sharedItems containsSemiMixedTypes="0" containsString="0" containsMixedTypes="0" containsNumber="1" containsInteger="1" count="5">
        <n v="0"/>
        <n v="1"/>
        <n v="2"/>
        <n v="3"/>
        <n v="4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93" sheet="Batting (data)"/>
  </cacheSource>
  <cacheFields count="5">
    <cacheField name="Name">
      <sharedItems containsMixedTypes="0" count="30">
        <s v="Adrian"/>
        <s v="Simon Elliman"/>
        <s v="Kevin  Robinson"/>
        <s v="John Cook"/>
        <s v="Paul Martin (Betty)"/>
        <s v="Tom Carney"/>
        <s v="Mark Hornsey"/>
        <s v="Duncan Lee (Bettina)"/>
        <s v="James Dutton"/>
        <s v="Rob Branaston (Pickles)"/>
        <s v="Gregory Sankaran"/>
        <s v="Paul Wilson"/>
        <s v="Rhodri Morgan"/>
        <s v="Mike Whittlesy"/>
        <s v="Alex Cox"/>
        <s v="Paul Snow"/>
        <s v="James Coughlan (Toni)"/>
        <s v="John Harris"/>
        <s v="Steve Lyall"/>
        <s v="Kartyk"/>
        <s v="Luke Turner (Ruth)"/>
        <s v="Adam Dziedzic (Sally)"/>
        <s v="Ian Bezodis"/>
        <s v="Duncan Rance"/>
        <s v="Paul Bird"/>
        <s v="David Sykes"/>
        <s v="Barrie Cooper"/>
        <s v="Tim Taylor"/>
        <s v="Neil Pollock"/>
        <s v="Glyn Flinders (Polly)"/>
      </sharedItems>
    </cacheField>
    <cacheField name="Game type">
      <sharedItems containsSemiMixedTypes="0" containsString="0" containsMixedTypes="0" containsNumber="1" containsInteger="1" count="2">
        <n v="40"/>
        <n v="20"/>
      </sharedItems>
    </cacheField>
    <cacheField name="Runs">
      <sharedItems containsSemiMixedTypes="0" containsString="0" containsMixedTypes="0" containsNumber="1" containsInteger="1"/>
    </cacheField>
    <cacheField name="How out">
      <sharedItems containsMixedTypes="0" count="6">
        <s v="Caught"/>
        <s v="Bowled"/>
        <s v="LBW"/>
        <s v="Stumped"/>
        <s v="Not Out"/>
        <s v="Run Out"/>
      </sharedItems>
    </cacheField>
    <cacheField name="Dismissals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2" dataOnRows="1" dataPosition="1" applyNumberFormats="0" applyBorderFormats="0" applyFontFormats="0" applyPatternFormats="0" applyAlignmentFormats="0" applyWidthHeightFormats="0" dataCaption="Data" showMissing="1" showItems="0" preserveFormatting="1" useAutoFormatting="1" itemPrintTitles="1" compactData="0" updatedVersion="2" indent="0" showMemberPropertyTips="1">
  <location ref="G4:J162" firstHeaderRow="1" firstDataRow="1" firstDataCol="3"/>
  <pivotFields count="5">
    <pivotField axis="axisRow" compact="0" outline="0" subtotalTop="0" showAll="0">
      <items count="32">
        <item x="21"/>
        <item x="0"/>
        <item x="14"/>
        <item x="26"/>
        <item x="25"/>
        <item x="7"/>
        <item x="23"/>
        <item x="29"/>
        <item x="10"/>
        <item x="22"/>
        <item x="16"/>
        <item x="8"/>
        <item x="3"/>
        <item x="17"/>
        <item x="19"/>
        <item x="2"/>
        <item x="20"/>
        <item x="6"/>
        <item m="1" x="30"/>
        <item x="28"/>
        <item x="24"/>
        <item x="4"/>
        <item x="15"/>
        <item x="11"/>
        <item x="12"/>
        <item x="9"/>
        <item x="1"/>
        <item x="18"/>
        <item x="27"/>
        <item x="5"/>
        <item x="13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  <pivotField compact="0" outline="0" subtotalTop="0" showAll="0"/>
    <pivotField dataField="1" compact="0" outline="0" subtotalTop="0" showAll="0"/>
  </pivotFields>
  <rowFields count="3">
    <field x="0"/>
    <field x="-2"/>
    <field x="1"/>
  </rowFields>
  <rowItems count="158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 v="1"/>
    </i>
    <i i="1" r="1">
      <x v="1"/>
      <x v="1"/>
    </i>
    <i t="default">
      <x v="1"/>
    </i>
    <i t="default" i="1">
      <x v="1"/>
    </i>
    <i>
      <x v="2"/>
      <x/>
      <x/>
    </i>
    <i r="2">
      <x v="1"/>
    </i>
    <i i="1" r="1">
      <x v="1"/>
      <x/>
    </i>
    <i i="1" r="2">
      <x v="1"/>
    </i>
    <i t="default">
      <x v="2"/>
    </i>
    <i t="default" i="1">
      <x v="2"/>
    </i>
    <i>
      <x v="3"/>
      <x/>
      <x/>
    </i>
    <i r="2">
      <x v="1"/>
    </i>
    <i i="1" r="1">
      <x v="1"/>
      <x/>
    </i>
    <i i="1" r="2">
      <x v="1"/>
    </i>
    <i t="default">
      <x v="3"/>
    </i>
    <i t="default" i="1">
      <x v="3"/>
    </i>
    <i>
      <x v="4"/>
      <x/>
      <x/>
    </i>
    <i i="1" r="1">
      <x v="1"/>
      <x/>
    </i>
    <i t="default">
      <x v="4"/>
    </i>
    <i t="default" i="1">
      <x v="4"/>
    </i>
    <i>
      <x v="5"/>
      <x/>
      <x/>
    </i>
    <i r="2">
      <x v="1"/>
    </i>
    <i i="1" r="1">
      <x v="1"/>
      <x/>
    </i>
    <i i="1" r="2">
      <x v="1"/>
    </i>
    <i t="default">
      <x v="5"/>
    </i>
    <i t="default" i="1">
      <x v="5"/>
    </i>
    <i>
      <x v="6"/>
      <x/>
      <x v="1"/>
    </i>
    <i i="1" r="1">
      <x v="1"/>
      <x v="1"/>
    </i>
    <i t="default">
      <x v="6"/>
    </i>
    <i t="default" i="1">
      <x v="6"/>
    </i>
    <i>
      <x v="7"/>
      <x/>
      <x v="1"/>
    </i>
    <i i="1" r="1">
      <x v="1"/>
      <x v="1"/>
    </i>
    <i t="default">
      <x v="7"/>
    </i>
    <i t="default" i="1">
      <x v="7"/>
    </i>
    <i>
      <x v="8"/>
      <x/>
      <x/>
    </i>
    <i r="2">
      <x v="1"/>
    </i>
    <i i="1" r="1">
      <x v="1"/>
      <x/>
    </i>
    <i i="1" r="2">
      <x v="1"/>
    </i>
    <i t="default">
      <x v="8"/>
    </i>
    <i t="default" i="1">
      <x v="8"/>
    </i>
    <i>
      <x v="9"/>
      <x/>
      <x/>
    </i>
    <i r="2">
      <x v="1"/>
    </i>
    <i i="1" r="1">
      <x v="1"/>
      <x/>
    </i>
    <i i="1" r="2">
      <x v="1"/>
    </i>
    <i t="default">
      <x v="9"/>
    </i>
    <i t="default" i="1">
      <x v="9"/>
    </i>
    <i>
      <x v="10"/>
      <x/>
      <x/>
    </i>
    <i r="2">
      <x v="1"/>
    </i>
    <i i="1" r="1">
      <x v="1"/>
      <x/>
    </i>
    <i i="1" r="2">
      <x v="1"/>
    </i>
    <i t="default">
      <x v="10"/>
    </i>
    <i t="default" i="1">
      <x v="10"/>
    </i>
    <i>
      <x v="11"/>
      <x/>
      <x/>
    </i>
    <i r="2">
      <x v="1"/>
    </i>
    <i i="1" r="1">
      <x v="1"/>
      <x/>
    </i>
    <i i="1" r="2">
      <x v="1"/>
    </i>
    <i t="default">
      <x v="11"/>
    </i>
    <i t="default" i="1">
      <x v="11"/>
    </i>
    <i>
      <x v="12"/>
      <x/>
      <x v="1"/>
    </i>
    <i i="1" r="1">
      <x v="1"/>
      <x v="1"/>
    </i>
    <i t="default">
      <x v="12"/>
    </i>
    <i t="default" i="1">
      <x v="12"/>
    </i>
    <i>
      <x v="13"/>
      <x/>
      <x/>
    </i>
    <i r="2">
      <x v="1"/>
    </i>
    <i i="1" r="1">
      <x v="1"/>
      <x/>
    </i>
    <i i="1" r="2">
      <x v="1"/>
    </i>
    <i t="default">
      <x v="13"/>
    </i>
    <i t="default" i="1">
      <x v="13"/>
    </i>
    <i>
      <x v="14"/>
      <x/>
      <x v="1"/>
    </i>
    <i i="1" r="1">
      <x v="1"/>
      <x v="1"/>
    </i>
    <i t="default">
      <x v="14"/>
    </i>
    <i t="default" i="1">
      <x v="14"/>
    </i>
    <i>
      <x v="15"/>
      <x/>
      <x/>
    </i>
    <i r="2">
      <x v="1"/>
    </i>
    <i i="1" r="1">
      <x v="1"/>
      <x/>
    </i>
    <i i="1" r="2">
      <x v="1"/>
    </i>
    <i t="default">
      <x v="15"/>
    </i>
    <i t="default" i="1">
      <x v="15"/>
    </i>
    <i>
      <x v="16"/>
      <x/>
      <x/>
    </i>
    <i r="2">
      <x v="1"/>
    </i>
    <i i="1" r="1">
      <x v="1"/>
      <x/>
    </i>
    <i i="1" r="2">
      <x v="1"/>
    </i>
    <i t="default">
      <x v="16"/>
    </i>
    <i t="default" i="1">
      <x v="16"/>
    </i>
    <i>
      <x v="17"/>
      <x/>
      <x/>
    </i>
    <i r="2">
      <x v="1"/>
    </i>
    <i i="1" r="1">
      <x v="1"/>
      <x/>
    </i>
    <i i="1" r="2">
      <x v="1"/>
    </i>
    <i t="default">
      <x v="17"/>
    </i>
    <i t="default" i="1">
      <x v="17"/>
    </i>
    <i>
      <x v="19"/>
      <x/>
      <x v="1"/>
    </i>
    <i i="1" r="1">
      <x v="1"/>
      <x v="1"/>
    </i>
    <i t="default">
      <x v="19"/>
    </i>
    <i t="default" i="1">
      <x v="19"/>
    </i>
    <i>
      <x v="20"/>
      <x/>
      <x/>
    </i>
    <i i="1" r="1">
      <x v="1"/>
      <x/>
    </i>
    <i t="default">
      <x v="20"/>
    </i>
    <i t="default" i="1">
      <x v="20"/>
    </i>
    <i>
      <x v="21"/>
      <x/>
      <x/>
    </i>
    <i r="2">
      <x v="1"/>
    </i>
    <i i="1" r="1">
      <x v="1"/>
      <x/>
    </i>
    <i i="1" r="2">
      <x v="1"/>
    </i>
    <i t="default">
      <x v="21"/>
    </i>
    <i t="default" i="1">
      <x v="21"/>
    </i>
    <i>
      <x v="22"/>
      <x/>
      <x v="1"/>
    </i>
    <i i="1" r="1">
      <x v="1"/>
      <x v="1"/>
    </i>
    <i t="default">
      <x v="22"/>
    </i>
    <i t="default" i="1">
      <x v="22"/>
    </i>
    <i>
      <x v="23"/>
      <x/>
      <x/>
    </i>
    <i r="2">
      <x v="1"/>
    </i>
    <i i="1" r="1">
      <x v="1"/>
      <x/>
    </i>
    <i i="1" r="2">
      <x v="1"/>
    </i>
    <i t="default">
      <x v="23"/>
    </i>
    <i t="default" i="1">
      <x v="23"/>
    </i>
    <i>
      <x v="24"/>
      <x/>
      <x/>
    </i>
    <i r="2">
      <x v="1"/>
    </i>
    <i i="1" r="1">
      <x v="1"/>
      <x/>
    </i>
    <i i="1" r="2">
      <x v="1"/>
    </i>
    <i t="default">
      <x v="24"/>
    </i>
    <i t="default" i="1">
      <x v="24"/>
    </i>
    <i>
      <x v="25"/>
      <x/>
      <x/>
    </i>
    <i r="2">
      <x v="1"/>
    </i>
    <i i="1" r="1">
      <x v="1"/>
      <x/>
    </i>
    <i i="1" r="2">
      <x v="1"/>
    </i>
    <i t="default">
      <x v="25"/>
    </i>
    <i t="default" i="1">
      <x v="25"/>
    </i>
    <i>
      <x v="26"/>
      <x/>
      <x/>
    </i>
    <i r="2">
      <x v="1"/>
    </i>
    <i i="1" r="1">
      <x v="1"/>
      <x/>
    </i>
    <i i="1" r="2">
      <x v="1"/>
    </i>
    <i t="default">
      <x v="26"/>
    </i>
    <i t="default" i="1">
      <x v="26"/>
    </i>
    <i>
      <x v="27"/>
      <x/>
      <x v="1"/>
    </i>
    <i i="1" r="1">
      <x v="1"/>
      <x v="1"/>
    </i>
    <i t="default">
      <x v="27"/>
    </i>
    <i t="default" i="1">
      <x v="27"/>
    </i>
    <i>
      <x v="28"/>
      <x/>
      <x v="1"/>
    </i>
    <i i="1" r="1">
      <x v="1"/>
      <x v="1"/>
    </i>
    <i t="default">
      <x v="28"/>
    </i>
    <i t="default" i="1">
      <x v="28"/>
    </i>
    <i>
      <x v="29"/>
      <x/>
      <x/>
    </i>
    <i r="2">
      <x v="1"/>
    </i>
    <i i="1" r="1">
      <x v="1"/>
      <x/>
    </i>
    <i i="1" r="2">
      <x v="1"/>
    </i>
    <i t="default">
      <x v="29"/>
    </i>
    <i t="default" i="1">
      <x v="29"/>
    </i>
    <i>
      <x v="30"/>
      <x/>
      <x v="1"/>
    </i>
    <i i="1" r="1">
      <x v="1"/>
      <x v="1"/>
    </i>
    <i t="default">
      <x v="30"/>
    </i>
    <i t="default" i="1">
      <x v="30"/>
    </i>
    <i t="grand">
      <x/>
    </i>
    <i t="grand" i="1">
      <x/>
    </i>
  </rowItems>
  <colItems count="1">
    <i/>
  </colItems>
  <dataFields count="2">
    <dataField name="Sum of Runs" fld="2" baseField="0" baseItem="0"/>
    <dataField name="Sum of Dismissals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5:H197" firstHeaderRow="2" firstDataRow="2" firstDataCol="1"/>
  <pivotFields count="5">
    <pivotField axis="axisRow" compact="0" outline="0" subtotalTop="0" showAll="0">
      <items count="31">
        <item x="21"/>
        <item x="0"/>
        <item x="14"/>
        <item x="26"/>
        <item x="25"/>
        <item x="7"/>
        <item x="23"/>
        <item x="29"/>
        <item x="10"/>
        <item x="22"/>
        <item x="16"/>
        <item x="8"/>
        <item x="3"/>
        <item x="17"/>
        <item x="19"/>
        <item x="2"/>
        <item x="20"/>
        <item x="6"/>
        <item x="13"/>
        <item x="28"/>
        <item x="24"/>
        <item x="4"/>
        <item x="15"/>
        <item x="11"/>
        <item x="12"/>
        <item x="9"/>
        <item x="1"/>
        <item x="18"/>
        <item x="27"/>
        <item x="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Runs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3:H109" firstHeaderRow="2" firstDataRow="2" firstDataCol="1"/>
  <pivotFields count="5">
    <pivotField axis="axisRow" compact="0" outline="0" subtotalTop="0" showAll="0">
      <items count="25">
        <item x="15"/>
        <item x="23"/>
        <item x="22"/>
        <item x="0"/>
        <item x="20"/>
        <item x="19"/>
        <item x="2"/>
        <item x="16"/>
        <item x="8"/>
        <item x="7"/>
        <item x="5"/>
        <item x="10"/>
        <item x="9"/>
        <item x="3"/>
        <item x="17"/>
        <item x="14"/>
        <item x="13"/>
        <item x="21"/>
        <item x="11"/>
        <item x="18"/>
        <item x="12"/>
        <item x="1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 of Wickets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4:K80" firstHeaderRow="1" firstDataRow="2" firstDataCol="2"/>
  <pivotFields count="5">
    <pivotField axis="axisRow" compact="0" outline="0" subtotalTop="0" showAll="0">
      <items count="25">
        <item x="23"/>
        <item x="15"/>
        <item x="22"/>
        <item x="0"/>
        <item x="20"/>
        <item x="19"/>
        <item x="2"/>
        <item x="16"/>
        <item x="8"/>
        <item x="7"/>
        <item x="5"/>
        <item x="10"/>
        <item x="9"/>
        <item x="3"/>
        <item x="17"/>
        <item x="14"/>
        <item x="13"/>
        <item x="21"/>
        <item x="11"/>
        <item x="18"/>
        <item x="12"/>
        <item x="1"/>
        <item x="4"/>
        <item x="6"/>
        <item t="default"/>
      </items>
    </pivotField>
    <pivotField axis="axisCol" compact="0" outline="0" subtotalTop="0" showAll="0">
      <items count="4">
        <item x="1"/>
        <item m="1" x="2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75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2"/>
      <x/>
    </i>
    <i i="1" r="1">
      <x v="1"/>
    </i>
    <i i="2" r="1">
      <x v="2"/>
    </i>
    <i>
      <x v="13"/>
      <x/>
    </i>
    <i i="1" r="1">
      <x v="1"/>
    </i>
    <i i="2" r="1">
      <x v="2"/>
    </i>
    <i>
      <x v="14"/>
      <x/>
    </i>
    <i i="1" r="1">
      <x v="1"/>
    </i>
    <i i="2" r="1">
      <x v="2"/>
    </i>
    <i>
      <x v="15"/>
      <x/>
    </i>
    <i i="1" r="1">
      <x v="1"/>
    </i>
    <i i="2" r="1">
      <x v="2"/>
    </i>
    <i>
      <x v="16"/>
      <x/>
    </i>
    <i i="1" r="1">
      <x v="1"/>
    </i>
    <i i="2" r="1">
      <x v="2"/>
    </i>
    <i>
      <x v="17"/>
      <x/>
    </i>
    <i i="1" r="1">
      <x v="1"/>
    </i>
    <i i="2" r="1">
      <x v="2"/>
    </i>
    <i>
      <x v="18"/>
      <x/>
    </i>
    <i i="1" r="1">
      <x v="1"/>
    </i>
    <i i="2" r="1">
      <x v="2"/>
    </i>
    <i>
      <x v="19"/>
      <x/>
    </i>
    <i i="1" r="1">
      <x v="1"/>
    </i>
    <i i="2" r="1">
      <x v="2"/>
    </i>
    <i>
      <x v="20"/>
      <x/>
    </i>
    <i i="1" r="1">
      <x v="1"/>
    </i>
    <i i="2" r="1">
      <x v="2"/>
    </i>
    <i>
      <x v="21"/>
      <x/>
    </i>
    <i i="1" r="1">
      <x v="1"/>
    </i>
    <i i="2" r="1">
      <x v="2"/>
    </i>
    <i>
      <x v="22"/>
      <x/>
    </i>
    <i i="1" r="1">
      <x v="1"/>
    </i>
    <i i="2" r="1">
      <x v="2"/>
    </i>
    <i>
      <x v="23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1"/>
  </colFields>
  <colItems count="3">
    <i>
      <x/>
    </i>
    <i>
      <x v="2"/>
    </i>
    <i t="grand">
      <x/>
    </i>
  </colItems>
  <dataFields count="3">
    <dataField name="Sum of Overs" fld="2" baseField="0" baseItem="0"/>
    <dataField name="Sum of Runs" fld="3" baseField="0" baseItem="0"/>
    <dataField name="Sum of Wicket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21.28125" style="20" customWidth="1"/>
    <col min="2" max="2" width="6.421875" style="20" customWidth="1"/>
    <col min="3" max="3" width="7.28125" style="20" customWidth="1"/>
    <col min="4" max="5" width="5.7109375" style="20" customWidth="1"/>
    <col min="6" max="6" width="7.28125" style="20" customWidth="1"/>
    <col min="7" max="7" width="5.57421875" style="20" customWidth="1"/>
    <col min="8" max="8" width="5.7109375" style="20" customWidth="1"/>
    <col min="9" max="9" width="6.8515625" style="20" customWidth="1"/>
    <col min="10" max="11" width="6.00390625" style="20" customWidth="1"/>
    <col min="12" max="12" width="7.00390625" style="20" customWidth="1"/>
    <col min="13" max="13" width="8.8515625" style="20" customWidth="1"/>
    <col min="14" max="14" width="9.00390625" style="20" customWidth="1"/>
    <col min="15" max="15" width="2.140625" style="20" customWidth="1"/>
    <col min="16" max="16" width="21.57421875" style="20" bestFit="1" customWidth="1"/>
    <col min="17" max="16384" width="9.140625" style="20" customWidth="1"/>
  </cols>
  <sheetData>
    <row r="1" ht="12.75">
      <c r="A1" s="19" t="s">
        <v>112</v>
      </c>
    </row>
    <row r="3" spans="1:2" ht="12.75">
      <c r="A3" s="19"/>
      <c r="B3" s="19"/>
    </row>
    <row r="4" spans="1:14" ht="12.75">
      <c r="A4" s="27" t="s">
        <v>113</v>
      </c>
      <c r="B4" s="77" t="s">
        <v>114</v>
      </c>
      <c r="C4" s="78"/>
      <c r="D4" s="78"/>
      <c r="E4" s="79"/>
      <c r="F4" s="74" t="s">
        <v>115</v>
      </c>
      <c r="G4" s="75"/>
      <c r="H4" s="75"/>
      <c r="I4" s="75"/>
      <c r="J4" s="75"/>
      <c r="K4" s="75"/>
      <c r="L4" s="75"/>
      <c r="M4" s="76"/>
      <c r="N4" s="27" t="s">
        <v>1</v>
      </c>
    </row>
    <row r="5" spans="1:14" ht="12.75">
      <c r="A5" s="44"/>
      <c r="B5" s="74" t="s">
        <v>130</v>
      </c>
      <c r="C5" s="75"/>
      <c r="D5" s="76"/>
      <c r="E5" s="60"/>
      <c r="F5" s="74" t="s">
        <v>127</v>
      </c>
      <c r="G5" s="75"/>
      <c r="H5" s="76"/>
      <c r="I5" s="74" t="s">
        <v>126</v>
      </c>
      <c r="J5" s="75"/>
      <c r="K5" s="76"/>
      <c r="L5" s="57" t="s">
        <v>117</v>
      </c>
      <c r="M5" s="57" t="s">
        <v>118</v>
      </c>
      <c r="N5" s="44"/>
    </row>
    <row r="6" spans="1:14" ht="12.75">
      <c r="A6" s="28"/>
      <c r="B6" s="51">
        <v>20</v>
      </c>
      <c r="C6" s="52">
        <v>40</v>
      </c>
      <c r="D6" s="53" t="s">
        <v>42</v>
      </c>
      <c r="E6" s="54" t="s">
        <v>19</v>
      </c>
      <c r="F6" s="51">
        <v>20</v>
      </c>
      <c r="G6" s="52">
        <v>40</v>
      </c>
      <c r="H6" s="53" t="s">
        <v>42</v>
      </c>
      <c r="I6" s="51">
        <v>20</v>
      </c>
      <c r="J6" s="52">
        <v>40</v>
      </c>
      <c r="K6" s="53" t="s">
        <v>42</v>
      </c>
      <c r="L6" s="54"/>
      <c r="M6" s="54"/>
      <c r="N6" s="28"/>
    </row>
    <row r="7" spans="1:14" ht="12.75">
      <c r="A7" s="24" t="s">
        <v>11</v>
      </c>
      <c r="B7" s="29">
        <v>8.5</v>
      </c>
      <c r="C7" s="21">
        <v>4.333333333333333</v>
      </c>
      <c r="D7" s="30">
        <v>6</v>
      </c>
      <c r="E7" s="61">
        <v>60</v>
      </c>
      <c r="F7" s="29">
        <v>21.8</v>
      </c>
      <c r="G7" s="21">
        <v>16</v>
      </c>
      <c r="H7" s="30">
        <v>18.636363636363637</v>
      </c>
      <c r="I7" s="64">
        <v>7.266666666666667</v>
      </c>
      <c r="J7" s="59">
        <v>4.304932735426009</v>
      </c>
      <c r="K7" s="65">
        <v>5.495978552278821</v>
      </c>
      <c r="L7" s="47">
        <v>37.3</v>
      </c>
      <c r="M7" s="46">
        <v>11</v>
      </c>
      <c r="N7" s="47">
        <v>3</v>
      </c>
    </row>
    <row r="8" spans="1:14" ht="12.75">
      <c r="A8" s="25" t="s">
        <v>21</v>
      </c>
      <c r="B8" s="31" t="s">
        <v>128</v>
      </c>
      <c r="C8" s="22">
        <v>2</v>
      </c>
      <c r="D8" s="32">
        <v>2</v>
      </c>
      <c r="E8" s="62">
        <v>2</v>
      </c>
      <c r="F8" s="72" t="s">
        <v>128</v>
      </c>
      <c r="G8" s="45" t="s">
        <v>128</v>
      </c>
      <c r="H8" s="73" t="s">
        <v>128</v>
      </c>
      <c r="I8" s="66" t="s">
        <v>128</v>
      </c>
      <c r="J8" s="55" t="s">
        <v>128</v>
      </c>
      <c r="K8" s="67" t="s">
        <v>128</v>
      </c>
      <c r="L8" s="48" t="s">
        <v>128</v>
      </c>
      <c r="M8" s="45" t="s">
        <v>128</v>
      </c>
      <c r="N8" s="48" t="s">
        <v>128</v>
      </c>
    </row>
    <row r="9" spans="1:14" ht="12.75">
      <c r="A9" s="25" t="s">
        <v>32</v>
      </c>
      <c r="B9" s="31">
        <v>4</v>
      </c>
      <c r="C9" s="22">
        <v>11.666666666666666</v>
      </c>
      <c r="D9" s="32">
        <v>7.285714285714286</v>
      </c>
      <c r="E9" s="62">
        <v>51</v>
      </c>
      <c r="F9" s="31">
        <v>12.333333333333334</v>
      </c>
      <c r="G9" s="22" t="s">
        <v>128</v>
      </c>
      <c r="H9" s="32">
        <v>14</v>
      </c>
      <c r="I9" s="68">
        <v>10.882352941176471</v>
      </c>
      <c r="J9" s="58">
        <v>5</v>
      </c>
      <c r="K9" s="69">
        <v>9.545454545454545</v>
      </c>
      <c r="L9" s="48">
        <v>4.4</v>
      </c>
      <c r="M9" s="46">
        <v>3</v>
      </c>
      <c r="N9" s="48" t="s">
        <v>128</v>
      </c>
    </row>
    <row r="10" spans="1:14" ht="12.75">
      <c r="A10" s="25" t="s">
        <v>38</v>
      </c>
      <c r="B10" s="31">
        <v>1</v>
      </c>
      <c r="C10" s="22">
        <v>14.5</v>
      </c>
      <c r="D10" s="32">
        <v>10</v>
      </c>
      <c r="E10" s="62">
        <v>30</v>
      </c>
      <c r="F10" s="31" t="s">
        <v>128</v>
      </c>
      <c r="G10" s="22">
        <v>1.75</v>
      </c>
      <c r="H10" s="32">
        <v>1.75</v>
      </c>
      <c r="I10" s="68" t="s">
        <v>128</v>
      </c>
      <c r="J10" s="58">
        <v>1.75</v>
      </c>
      <c r="K10" s="69">
        <v>1.75</v>
      </c>
      <c r="L10" s="48">
        <v>4</v>
      </c>
      <c r="M10" s="46">
        <v>4</v>
      </c>
      <c r="N10" s="48" t="s">
        <v>128</v>
      </c>
    </row>
    <row r="11" spans="1:14" ht="12.75">
      <c r="A11" s="25" t="s">
        <v>37</v>
      </c>
      <c r="B11" s="31">
        <v>18</v>
      </c>
      <c r="C11" s="22" t="s">
        <v>128</v>
      </c>
      <c r="D11" s="32">
        <v>18</v>
      </c>
      <c r="E11" s="62">
        <v>18</v>
      </c>
      <c r="F11" s="72" t="s">
        <v>128</v>
      </c>
      <c r="G11" s="45" t="s">
        <v>128</v>
      </c>
      <c r="H11" s="73" t="s">
        <v>128</v>
      </c>
      <c r="I11" s="66" t="s">
        <v>128</v>
      </c>
      <c r="J11" s="55" t="s">
        <v>128</v>
      </c>
      <c r="K11" s="67" t="s">
        <v>128</v>
      </c>
      <c r="L11" s="48" t="s">
        <v>128</v>
      </c>
      <c r="M11" s="45" t="s">
        <v>128</v>
      </c>
      <c r="N11" s="48" t="s">
        <v>128</v>
      </c>
    </row>
    <row r="12" spans="1:14" ht="12.75">
      <c r="A12" s="25" t="s">
        <v>30</v>
      </c>
      <c r="B12" s="31">
        <v>20</v>
      </c>
      <c r="C12" s="22">
        <v>35</v>
      </c>
      <c r="D12" s="32">
        <v>29</v>
      </c>
      <c r="E12" s="62">
        <v>290</v>
      </c>
      <c r="F12" s="31">
        <v>17</v>
      </c>
      <c r="G12" s="22">
        <v>20.875</v>
      </c>
      <c r="H12" s="32">
        <v>19.066666666666666</v>
      </c>
      <c r="I12" s="68">
        <v>4.576923076923077</v>
      </c>
      <c r="J12" s="58">
        <v>3.5531914893617023</v>
      </c>
      <c r="K12" s="69">
        <v>3.9178082191780823</v>
      </c>
      <c r="L12" s="48">
        <v>73</v>
      </c>
      <c r="M12" s="46">
        <v>15</v>
      </c>
      <c r="N12" s="48" t="s">
        <v>128</v>
      </c>
    </row>
    <row r="13" spans="1:14" ht="12.75">
      <c r="A13" s="25" t="s">
        <v>3</v>
      </c>
      <c r="B13" s="31" t="s">
        <v>128</v>
      </c>
      <c r="C13" s="22">
        <v>1.5</v>
      </c>
      <c r="D13" s="32">
        <v>1.5</v>
      </c>
      <c r="E13" s="62">
        <v>3</v>
      </c>
      <c r="F13" s="31" t="s">
        <v>128</v>
      </c>
      <c r="G13" s="22" t="s">
        <v>128</v>
      </c>
      <c r="H13" s="32" t="s">
        <v>128</v>
      </c>
      <c r="I13" s="68" t="s">
        <v>128</v>
      </c>
      <c r="J13" s="58">
        <v>4.1</v>
      </c>
      <c r="K13" s="69">
        <v>4.1</v>
      </c>
      <c r="L13" s="48" t="s">
        <v>128</v>
      </c>
      <c r="M13" s="46" t="s">
        <v>128</v>
      </c>
      <c r="N13" s="48">
        <v>1</v>
      </c>
    </row>
    <row r="14" spans="1:14" ht="12.75">
      <c r="A14" s="25" t="s">
        <v>41</v>
      </c>
      <c r="B14" s="31" t="s">
        <v>128</v>
      </c>
      <c r="C14" s="22">
        <v>16</v>
      </c>
      <c r="D14" s="32">
        <v>16</v>
      </c>
      <c r="E14" s="62">
        <v>32</v>
      </c>
      <c r="F14" s="31" t="s">
        <v>128</v>
      </c>
      <c r="G14" s="22">
        <v>5.5</v>
      </c>
      <c r="H14" s="32">
        <v>5.5</v>
      </c>
      <c r="I14" s="68" t="s">
        <v>128</v>
      </c>
      <c r="J14" s="58">
        <v>1.8333333333333333</v>
      </c>
      <c r="K14" s="69">
        <v>1.8333333333333333</v>
      </c>
      <c r="L14" s="48">
        <v>6</v>
      </c>
      <c r="M14" s="46">
        <v>2</v>
      </c>
      <c r="N14" s="48">
        <v>1</v>
      </c>
    </row>
    <row r="15" spans="1:14" ht="12.75">
      <c r="A15" s="25" t="s">
        <v>9</v>
      </c>
      <c r="B15" s="31" t="s">
        <v>128</v>
      </c>
      <c r="C15" s="22">
        <v>3.25</v>
      </c>
      <c r="D15" s="32">
        <v>3.5</v>
      </c>
      <c r="E15" s="62">
        <v>14</v>
      </c>
      <c r="F15" s="31">
        <v>9.285714285714286</v>
      </c>
      <c r="G15" s="22">
        <v>89.5</v>
      </c>
      <c r="H15" s="32">
        <v>27.11111111111111</v>
      </c>
      <c r="I15" s="68">
        <v>5</v>
      </c>
      <c r="J15" s="58">
        <v>5.21865889212828</v>
      </c>
      <c r="K15" s="69">
        <v>5.158562367864694</v>
      </c>
      <c r="L15" s="48">
        <v>47.3</v>
      </c>
      <c r="M15" s="46">
        <v>9</v>
      </c>
      <c r="N15" s="48">
        <v>3</v>
      </c>
    </row>
    <row r="16" spans="1:14" ht="12.75">
      <c r="A16" s="25" t="s">
        <v>10</v>
      </c>
      <c r="B16" s="31">
        <v>14.666666666666666</v>
      </c>
      <c r="C16" s="22">
        <v>0</v>
      </c>
      <c r="D16" s="32">
        <v>11</v>
      </c>
      <c r="E16" s="62">
        <v>84</v>
      </c>
      <c r="F16" s="31" t="s">
        <v>128</v>
      </c>
      <c r="G16" s="22" t="s">
        <v>128</v>
      </c>
      <c r="H16" s="32" t="s">
        <v>128</v>
      </c>
      <c r="I16" s="68">
        <v>8.666666666666666</v>
      </c>
      <c r="J16" s="58" t="s">
        <v>128</v>
      </c>
      <c r="K16" s="69">
        <v>8.666666666666666</v>
      </c>
      <c r="L16" s="48">
        <v>3</v>
      </c>
      <c r="M16" s="46" t="s">
        <v>128</v>
      </c>
      <c r="N16" s="48">
        <v>2</v>
      </c>
    </row>
    <row r="17" spans="1:14" ht="12.75">
      <c r="A17" s="25" t="s">
        <v>16</v>
      </c>
      <c r="B17" s="31">
        <v>12.5</v>
      </c>
      <c r="C17" s="22">
        <v>8.25</v>
      </c>
      <c r="D17" s="32">
        <v>9.666666666666666</v>
      </c>
      <c r="E17" s="62">
        <v>58</v>
      </c>
      <c r="F17" s="31" t="s">
        <v>128</v>
      </c>
      <c r="G17" s="22">
        <v>14.5</v>
      </c>
      <c r="H17" s="32">
        <v>36</v>
      </c>
      <c r="I17" s="68">
        <v>8.6</v>
      </c>
      <c r="J17" s="58">
        <v>4.833333333333333</v>
      </c>
      <c r="K17" s="69">
        <v>6.545454545454546</v>
      </c>
      <c r="L17" s="48">
        <v>11</v>
      </c>
      <c r="M17" s="46">
        <v>2</v>
      </c>
      <c r="N17" s="48">
        <v>1</v>
      </c>
    </row>
    <row r="18" spans="1:14" ht="12.75">
      <c r="A18" s="25" t="s">
        <v>2</v>
      </c>
      <c r="B18" s="31">
        <v>7.666666666666667</v>
      </c>
      <c r="C18" s="22">
        <v>7.111111111111111</v>
      </c>
      <c r="D18" s="32">
        <v>7.333333333333333</v>
      </c>
      <c r="E18" s="62">
        <v>110</v>
      </c>
      <c r="F18" s="31">
        <v>38.75</v>
      </c>
      <c r="G18" s="22">
        <v>28.714285714285715</v>
      </c>
      <c r="H18" s="32">
        <v>32.36363636363637</v>
      </c>
      <c r="I18" s="68">
        <v>6.2</v>
      </c>
      <c r="J18" s="58">
        <v>3.6545454545454548</v>
      </c>
      <c r="K18" s="69">
        <v>4.45</v>
      </c>
      <c r="L18" s="48">
        <v>80</v>
      </c>
      <c r="M18" s="46">
        <v>11</v>
      </c>
      <c r="N18" s="48">
        <v>1</v>
      </c>
    </row>
    <row r="19" spans="1:14" ht="12.75">
      <c r="A19" s="25" t="s">
        <v>28</v>
      </c>
      <c r="B19" s="31" t="s">
        <v>128</v>
      </c>
      <c r="C19" s="22">
        <v>44</v>
      </c>
      <c r="D19" s="32">
        <v>44</v>
      </c>
      <c r="E19" s="62">
        <v>44</v>
      </c>
      <c r="F19" s="31" t="s">
        <v>128</v>
      </c>
      <c r="G19" s="22" t="s">
        <v>128</v>
      </c>
      <c r="H19" s="32" t="s">
        <v>128</v>
      </c>
      <c r="I19" s="68" t="s">
        <v>128</v>
      </c>
      <c r="J19" s="58">
        <v>5.25</v>
      </c>
      <c r="K19" s="69">
        <v>5.25</v>
      </c>
      <c r="L19" s="48">
        <v>12</v>
      </c>
      <c r="M19" s="46" t="s">
        <v>128</v>
      </c>
      <c r="N19" s="48" t="s">
        <v>128</v>
      </c>
    </row>
    <row r="20" spans="1:14" ht="12.75">
      <c r="A20" s="25" t="s">
        <v>34</v>
      </c>
      <c r="B20" s="31">
        <v>6.333333333333333</v>
      </c>
      <c r="C20" s="22">
        <v>25.5</v>
      </c>
      <c r="D20" s="32">
        <v>14</v>
      </c>
      <c r="E20" s="62">
        <v>70</v>
      </c>
      <c r="F20" s="31" t="s">
        <v>128</v>
      </c>
      <c r="G20" s="22">
        <v>10.666666666666666</v>
      </c>
      <c r="H20" s="32">
        <v>24.666666666666668</v>
      </c>
      <c r="I20" s="68">
        <v>7</v>
      </c>
      <c r="J20" s="58">
        <v>3.9024390243902443</v>
      </c>
      <c r="K20" s="69">
        <v>5.211267605633803</v>
      </c>
      <c r="L20" s="48">
        <v>14.2</v>
      </c>
      <c r="M20" s="46">
        <v>3</v>
      </c>
      <c r="N20" s="48" t="s">
        <v>128</v>
      </c>
    </row>
    <row r="21" spans="1:14" ht="12.75">
      <c r="A21" s="25" t="s">
        <v>35</v>
      </c>
      <c r="B21" s="31" t="s">
        <v>128</v>
      </c>
      <c r="C21" s="22">
        <v>7.5</v>
      </c>
      <c r="D21" s="32">
        <v>7.5</v>
      </c>
      <c r="E21" s="62">
        <v>15</v>
      </c>
      <c r="F21" s="31" t="s">
        <v>128</v>
      </c>
      <c r="G21" s="22" t="s">
        <v>128</v>
      </c>
      <c r="H21" s="32" t="s">
        <v>128</v>
      </c>
      <c r="I21" s="68" t="s">
        <v>128</v>
      </c>
      <c r="J21" s="58">
        <v>7.857142857142857</v>
      </c>
      <c r="K21" s="69">
        <v>7.857142857142857</v>
      </c>
      <c r="L21" s="48">
        <v>7</v>
      </c>
      <c r="M21" s="46" t="s">
        <v>128</v>
      </c>
      <c r="N21" s="48" t="s">
        <v>128</v>
      </c>
    </row>
    <row r="22" spans="1:14" ht="12.75">
      <c r="A22" s="25" t="s">
        <v>13</v>
      </c>
      <c r="B22" s="31">
        <v>31</v>
      </c>
      <c r="C22" s="22">
        <v>11</v>
      </c>
      <c r="D22" s="32">
        <v>18.142857142857142</v>
      </c>
      <c r="E22" s="62">
        <v>254</v>
      </c>
      <c r="F22" s="31">
        <v>20.5</v>
      </c>
      <c r="G22" s="22">
        <v>10.636363636363637</v>
      </c>
      <c r="H22" s="32">
        <v>13.266666666666667</v>
      </c>
      <c r="I22" s="68">
        <v>5.466666666666667</v>
      </c>
      <c r="J22" s="58">
        <v>2.6470588235294117</v>
      </c>
      <c r="K22" s="69">
        <v>3.3614864864864864</v>
      </c>
      <c r="L22" s="48">
        <v>59.2</v>
      </c>
      <c r="M22" s="46">
        <v>15</v>
      </c>
      <c r="N22" s="48">
        <v>1</v>
      </c>
    </row>
    <row r="23" spans="1:14" ht="12.75">
      <c r="A23" s="25" t="s">
        <v>15</v>
      </c>
      <c r="B23" s="31">
        <v>20</v>
      </c>
      <c r="C23" s="22">
        <v>17.333333333333332</v>
      </c>
      <c r="D23" s="32">
        <v>18.545454545454547</v>
      </c>
      <c r="E23" s="62">
        <v>204</v>
      </c>
      <c r="F23" s="31">
        <v>6.5</v>
      </c>
      <c r="G23" s="22" t="s">
        <v>128</v>
      </c>
      <c r="H23" s="32">
        <v>16.5</v>
      </c>
      <c r="I23" s="68">
        <v>13</v>
      </c>
      <c r="J23" s="58">
        <v>10</v>
      </c>
      <c r="K23" s="69">
        <v>11</v>
      </c>
      <c r="L23" s="48">
        <v>3</v>
      </c>
      <c r="M23" s="46">
        <v>2</v>
      </c>
      <c r="N23" s="48">
        <v>4</v>
      </c>
    </row>
    <row r="24" spans="1:14" ht="12.75">
      <c r="A24" s="25" t="s">
        <v>14</v>
      </c>
      <c r="B24" s="31">
        <v>46</v>
      </c>
      <c r="C24" s="22">
        <v>19.571428571428573</v>
      </c>
      <c r="D24" s="32">
        <v>27.5</v>
      </c>
      <c r="E24" s="62">
        <v>275</v>
      </c>
      <c r="F24" s="31" t="s">
        <v>128</v>
      </c>
      <c r="G24" s="22" t="s">
        <v>128</v>
      </c>
      <c r="H24" s="32" t="s">
        <v>128</v>
      </c>
      <c r="I24" s="68">
        <v>12.5</v>
      </c>
      <c r="J24" s="58" t="s">
        <v>128</v>
      </c>
      <c r="K24" s="69">
        <v>12.5</v>
      </c>
      <c r="L24" s="48">
        <v>2</v>
      </c>
      <c r="M24" s="46" t="s">
        <v>128</v>
      </c>
      <c r="N24" s="48">
        <v>1</v>
      </c>
    </row>
    <row r="25" spans="1:14" ht="12.75">
      <c r="A25" s="25" t="s">
        <v>119</v>
      </c>
      <c r="B25" s="31" t="s">
        <v>128</v>
      </c>
      <c r="C25" s="22">
        <v>20.666666666666668</v>
      </c>
      <c r="D25" s="32">
        <v>20.666666666666668</v>
      </c>
      <c r="E25" s="62">
        <v>62</v>
      </c>
      <c r="F25" s="31" t="s">
        <v>128</v>
      </c>
      <c r="G25" s="22">
        <v>23</v>
      </c>
      <c r="H25" s="32">
        <v>23</v>
      </c>
      <c r="I25" s="68" t="s">
        <v>128</v>
      </c>
      <c r="J25" s="58">
        <v>3.6315789473684212</v>
      </c>
      <c r="K25" s="69">
        <v>3.6315789473684212</v>
      </c>
      <c r="L25" s="48">
        <v>19</v>
      </c>
      <c r="M25" s="46">
        <v>3</v>
      </c>
      <c r="N25" s="48" t="s">
        <v>128</v>
      </c>
    </row>
    <row r="26" spans="1:14" ht="12.75">
      <c r="A26" s="25" t="s">
        <v>40</v>
      </c>
      <c r="B26" s="31" t="s">
        <v>128</v>
      </c>
      <c r="C26" s="22">
        <v>3</v>
      </c>
      <c r="D26" s="32">
        <v>3</v>
      </c>
      <c r="E26" s="62">
        <v>3</v>
      </c>
      <c r="F26" s="31" t="s">
        <v>128</v>
      </c>
      <c r="G26" s="22" t="s">
        <v>128</v>
      </c>
      <c r="H26" s="32" t="s">
        <v>128</v>
      </c>
      <c r="I26" s="68" t="s">
        <v>128</v>
      </c>
      <c r="J26" s="58">
        <v>2.75</v>
      </c>
      <c r="K26" s="69">
        <v>2.75</v>
      </c>
      <c r="L26" s="48">
        <v>4</v>
      </c>
      <c r="M26" s="46" t="s">
        <v>128</v>
      </c>
      <c r="N26" s="48" t="s">
        <v>128</v>
      </c>
    </row>
    <row r="27" spans="1:14" ht="12.75">
      <c r="A27" s="25" t="s">
        <v>36</v>
      </c>
      <c r="B27" s="31" t="s">
        <v>128</v>
      </c>
      <c r="C27" s="22">
        <v>38</v>
      </c>
      <c r="D27" s="32">
        <v>38</v>
      </c>
      <c r="E27" s="62">
        <v>76</v>
      </c>
      <c r="F27" s="72" t="s">
        <v>128</v>
      </c>
      <c r="G27" s="45" t="s">
        <v>128</v>
      </c>
      <c r="H27" s="73" t="s">
        <v>128</v>
      </c>
      <c r="I27" s="66" t="s">
        <v>128</v>
      </c>
      <c r="J27" s="55" t="s">
        <v>128</v>
      </c>
      <c r="K27" s="67" t="s">
        <v>128</v>
      </c>
      <c r="L27" s="48" t="s">
        <v>128</v>
      </c>
      <c r="M27" s="45" t="s">
        <v>128</v>
      </c>
      <c r="N27" s="48" t="s">
        <v>128</v>
      </c>
    </row>
    <row r="28" spans="1:14" ht="12.75">
      <c r="A28" s="25" t="s">
        <v>7</v>
      </c>
      <c r="B28" s="31">
        <v>8</v>
      </c>
      <c r="C28" s="22">
        <v>6.3</v>
      </c>
      <c r="D28" s="32">
        <v>6.583333333333333</v>
      </c>
      <c r="E28" s="62">
        <v>79</v>
      </c>
      <c r="F28" s="72" t="s">
        <v>128</v>
      </c>
      <c r="G28" s="45" t="s">
        <v>128</v>
      </c>
      <c r="H28" s="73" t="s">
        <v>128</v>
      </c>
      <c r="I28" s="66" t="s">
        <v>128</v>
      </c>
      <c r="J28" s="55" t="s">
        <v>128</v>
      </c>
      <c r="K28" s="67" t="s">
        <v>128</v>
      </c>
      <c r="L28" s="48" t="s">
        <v>128</v>
      </c>
      <c r="M28" s="45" t="s">
        <v>128</v>
      </c>
      <c r="N28" s="48">
        <v>7</v>
      </c>
    </row>
    <row r="29" spans="1:14" ht="12.75">
      <c r="A29" s="25" t="s">
        <v>33</v>
      </c>
      <c r="B29" s="31" t="s">
        <v>128</v>
      </c>
      <c r="C29" s="22">
        <v>2</v>
      </c>
      <c r="D29" s="32">
        <v>2</v>
      </c>
      <c r="E29" s="62">
        <v>4</v>
      </c>
      <c r="F29" s="31" t="s">
        <v>128</v>
      </c>
      <c r="G29" s="22">
        <v>63</v>
      </c>
      <c r="H29" s="32">
        <v>63</v>
      </c>
      <c r="I29" s="68" t="s">
        <v>128</v>
      </c>
      <c r="J29" s="58">
        <v>3.3157894736842106</v>
      </c>
      <c r="K29" s="69">
        <v>3.3157894736842106</v>
      </c>
      <c r="L29" s="48">
        <v>19</v>
      </c>
      <c r="M29" s="46">
        <v>1</v>
      </c>
      <c r="N29" s="48" t="s">
        <v>128</v>
      </c>
    </row>
    <row r="30" spans="1:14" ht="12.75">
      <c r="A30" s="25" t="s">
        <v>6</v>
      </c>
      <c r="B30" s="31">
        <v>10.4</v>
      </c>
      <c r="C30" s="22">
        <v>20</v>
      </c>
      <c r="D30" s="32">
        <v>12</v>
      </c>
      <c r="E30" s="62">
        <v>72</v>
      </c>
      <c r="F30" s="31" t="s">
        <v>128</v>
      </c>
      <c r="G30" s="22">
        <v>29</v>
      </c>
      <c r="H30" s="32">
        <v>29</v>
      </c>
      <c r="I30" s="68" t="s">
        <v>128</v>
      </c>
      <c r="J30" s="58">
        <v>3.625</v>
      </c>
      <c r="K30" s="69">
        <v>3.625</v>
      </c>
      <c r="L30" s="48">
        <v>8</v>
      </c>
      <c r="M30" s="46">
        <v>1</v>
      </c>
      <c r="N30" s="48">
        <v>3</v>
      </c>
    </row>
    <row r="31" spans="1:14" ht="12.75">
      <c r="A31" s="25" t="s">
        <v>12</v>
      </c>
      <c r="B31" s="31">
        <v>2</v>
      </c>
      <c r="C31" s="22">
        <v>2.3333333333333335</v>
      </c>
      <c r="D31" s="32">
        <v>2.2</v>
      </c>
      <c r="E31" s="62">
        <v>11</v>
      </c>
      <c r="F31" s="31" t="s">
        <v>128</v>
      </c>
      <c r="G31" s="22">
        <v>35</v>
      </c>
      <c r="H31" s="32">
        <v>45.5</v>
      </c>
      <c r="I31" s="68">
        <v>7</v>
      </c>
      <c r="J31" s="58">
        <v>4.117647058823529</v>
      </c>
      <c r="K31" s="69">
        <v>4.55</v>
      </c>
      <c r="L31" s="48">
        <v>20</v>
      </c>
      <c r="M31" s="46">
        <v>2</v>
      </c>
      <c r="N31" s="48">
        <v>2</v>
      </c>
    </row>
    <row r="32" spans="1:14" ht="12.75">
      <c r="A32" s="25" t="s">
        <v>129</v>
      </c>
      <c r="B32" s="31">
        <v>3</v>
      </c>
      <c r="C32" s="22">
        <v>8.75</v>
      </c>
      <c r="D32" s="32">
        <v>7.6</v>
      </c>
      <c r="E32" s="62">
        <v>38</v>
      </c>
      <c r="F32" s="31">
        <v>81</v>
      </c>
      <c r="G32" s="22">
        <v>33</v>
      </c>
      <c r="H32" s="32">
        <v>45</v>
      </c>
      <c r="I32" s="68">
        <v>5.785714285714286</v>
      </c>
      <c r="J32" s="58">
        <v>4.125</v>
      </c>
      <c r="K32" s="69">
        <v>4.7368421052631575</v>
      </c>
      <c r="L32" s="48">
        <v>38</v>
      </c>
      <c r="M32" s="46">
        <v>4</v>
      </c>
      <c r="N32" s="48">
        <v>1</v>
      </c>
    </row>
    <row r="33" spans="1:14" ht="12.75">
      <c r="A33" s="25" t="s">
        <v>23</v>
      </c>
      <c r="B33" s="31" t="s">
        <v>128</v>
      </c>
      <c r="C33" s="22">
        <v>14.333333333333334</v>
      </c>
      <c r="D33" s="32">
        <v>14.333333333333334</v>
      </c>
      <c r="E33" s="62">
        <v>43</v>
      </c>
      <c r="F33" s="31" t="s">
        <v>128</v>
      </c>
      <c r="G33" s="22">
        <v>29</v>
      </c>
      <c r="H33" s="32">
        <v>29</v>
      </c>
      <c r="I33" s="68" t="s">
        <v>128</v>
      </c>
      <c r="J33" s="58">
        <v>5.8</v>
      </c>
      <c r="K33" s="69">
        <v>5.8</v>
      </c>
      <c r="L33" s="48">
        <v>10</v>
      </c>
      <c r="M33" s="46">
        <v>2</v>
      </c>
      <c r="N33" s="48" t="s">
        <v>128</v>
      </c>
    </row>
    <row r="34" spans="1:14" ht="12.75">
      <c r="A34" s="25" t="s">
        <v>4</v>
      </c>
      <c r="B34" s="31" t="s">
        <v>128</v>
      </c>
      <c r="C34" s="22">
        <v>9.2</v>
      </c>
      <c r="D34" s="32">
        <v>9.2</v>
      </c>
      <c r="E34" s="62">
        <v>46</v>
      </c>
      <c r="F34" s="72" t="s">
        <v>128</v>
      </c>
      <c r="G34" s="45" t="s">
        <v>128</v>
      </c>
      <c r="H34" s="73" t="s">
        <v>128</v>
      </c>
      <c r="I34" s="66" t="s">
        <v>128</v>
      </c>
      <c r="J34" s="55" t="s">
        <v>128</v>
      </c>
      <c r="K34" s="67" t="s">
        <v>128</v>
      </c>
      <c r="L34" s="48" t="s">
        <v>128</v>
      </c>
      <c r="M34" s="45" t="s">
        <v>128</v>
      </c>
      <c r="N34" s="48">
        <v>1</v>
      </c>
    </row>
    <row r="35" spans="1:14" ht="12.75">
      <c r="A35" s="25" t="s">
        <v>39</v>
      </c>
      <c r="B35" s="31" t="s">
        <v>128</v>
      </c>
      <c r="C35" s="22">
        <v>0</v>
      </c>
      <c r="D35" s="32">
        <v>0</v>
      </c>
      <c r="E35" s="62">
        <v>0</v>
      </c>
      <c r="F35" s="72" t="s">
        <v>128</v>
      </c>
      <c r="G35" s="45" t="s">
        <v>128</v>
      </c>
      <c r="H35" s="73" t="s">
        <v>128</v>
      </c>
      <c r="I35" s="66" t="s">
        <v>128</v>
      </c>
      <c r="J35" s="55" t="s">
        <v>128</v>
      </c>
      <c r="K35" s="67" t="s">
        <v>128</v>
      </c>
      <c r="L35" s="48" t="s">
        <v>128</v>
      </c>
      <c r="M35" s="46" t="s">
        <v>128</v>
      </c>
      <c r="N35" s="48" t="s">
        <v>128</v>
      </c>
    </row>
    <row r="36" spans="1:14" ht="12.75">
      <c r="A36" s="26" t="s">
        <v>5</v>
      </c>
      <c r="B36" s="33">
        <v>5.666666666666667</v>
      </c>
      <c r="C36" s="23">
        <v>12.166666666666666</v>
      </c>
      <c r="D36" s="34">
        <v>10</v>
      </c>
      <c r="E36" s="63">
        <v>90</v>
      </c>
      <c r="F36" s="33">
        <v>11.875</v>
      </c>
      <c r="G36" s="23">
        <v>18.75</v>
      </c>
      <c r="H36" s="34">
        <v>14.166666666666666</v>
      </c>
      <c r="I36" s="70">
        <v>5.277777777777778</v>
      </c>
      <c r="J36" s="56">
        <v>4.573170731707317</v>
      </c>
      <c r="K36" s="71">
        <v>4.941860465116279</v>
      </c>
      <c r="L36" s="50">
        <v>34.4</v>
      </c>
      <c r="M36" s="49">
        <v>12</v>
      </c>
      <c r="N36" s="50">
        <v>2</v>
      </c>
    </row>
  </sheetData>
  <mergeCells count="5">
    <mergeCell ref="F5:H5"/>
    <mergeCell ref="I5:K5"/>
    <mergeCell ref="F4:M4"/>
    <mergeCell ref="B4:E4"/>
    <mergeCell ref="B5:D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7"/>
  <sheetViews>
    <sheetView workbookViewId="0" topLeftCell="B166">
      <selection activeCell="G170" sqref="G170"/>
    </sheetView>
  </sheetViews>
  <sheetFormatPr defaultColWidth="9.140625" defaultRowHeight="12.75"/>
  <cols>
    <col min="1" max="1" width="56.7109375" style="0" bestFit="1" customWidth="1"/>
    <col min="2" max="2" width="10.8515625" style="0" bestFit="1" customWidth="1"/>
    <col min="7" max="7" width="21.57421875" style="0" customWidth="1"/>
    <col min="8" max="8" width="5.00390625" style="0" customWidth="1"/>
    <col min="9" max="9" width="12.57421875" style="0" customWidth="1"/>
    <col min="10" max="10" width="5.00390625" style="0" customWidth="1"/>
    <col min="11" max="11" width="10.140625" style="0" customWidth="1"/>
    <col min="12" max="12" width="21.57421875" style="0" bestFit="1" customWidth="1"/>
    <col min="13" max="14" width="16.7109375" style="0" bestFit="1" customWidth="1"/>
    <col min="15" max="15" width="13.8515625" style="0" bestFit="1" customWidth="1"/>
    <col min="16" max="16" width="10.140625" style="0" bestFit="1" customWidth="1"/>
    <col min="17" max="17" width="8.421875" style="0" bestFit="1" customWidth="1"/>
  </cols>
  <sheetData>
    <row r="1" ht="12.75">
      <c r="A1" s="1" t="s">
        <v>17</v>
      </c>
    </row>
    <row r="2" ht="12.75">
      <c r="L2" s="15" t="s">
        <v>107</v>
      </c>
    </row>
    <row r="4" spans="1:15" ht="12.75">
      <c r="A4" s="1" t="s">
        <v>0</v>
      </c>
      <c r="B4" s="1" t="s">
        <v>18</v>
      </c>
      <c r="C4" s="1" t="s">
        <v>19</v>
      </c>
      <c r="D4" s="1" t="s">
        <v>20</v>
      </c>
      <c r="E4" s="1" t="s">
        <v>44</v>
      </c>
      <c r="F4" s="1"/>
      <c r="G4" s="5" t="s">
        <v>0</v>
      </c>
      <c r="H4" s="5" t="s">
        <v>45</v>
      </c>
      <c r="I4" s="5" t="s">
        <v>18</v>
      </c>
      <c r="J4" s="8" t="s">
        <v>42</v>
      </c>
      <c r="K4" s="14"/>
      <c r="L4" s="15" t="s">
        <v>0</v>
      </c>
      <c r="M4" s="16" t="s">
        <v>110</v>
      </c>
      <c r="N4" s="17" t="s">
        <v>108</v>
      </c>
      <c r="O4" s="17" t="s">
        <v>109</v>
      </c>
    </row>
    <row r="5" spans="1:17" ht="12.75">
      <c r="A5" t="s">
        <v>21</v>
      </c>
      <c r="B5">
        <v>40</v>
      </c>
      <c r="C5">
        <v>2</v>
      </c>
      <c r="D5" t="s">
        <v>22</v>
      </c>
      <c r="E5">
        <v>1</v>
      </c>
      <c r="G5" s="2" t="s">
        <v>11</v>
      </c>
      <c r="H5" s="2" t="s">
        <v>43</v>
      </c>
      <c r="I5" s="2">
        <v>20</v>
      </c>
      <c r="J5" s="10">
        <v>34</v>
      </c>
      <c r="L5" t="s">
        <v>7</v>
      </c>
      <c r="M5" s="18">
        <f>GETPIVOTDATA("Sum of Runs",$G$4,"Name","Paul Martin (Betty)","Game type",20)/GETPIVOTDATA("Sum of Dismissals",$G$4,"Name","Paul Martin (Betty)","Game type",20)</f>
        <v>8</v>
      </c>
      <c r="N5" s="18">
        <f>GETPIVOTDATA("Sum of Runs",$G$4,"Name","Paul Martin (Betty)","Game type",40)/GETPIVOTDATA("Sum of Dismissals",$G$4,"Name","Paul Martin (Betty)","Game type",40)</f>
        <v>6.3</v>
      </c>
      <c r="O5" s="18">
        <f>GETPIVOTDATA("Sum of Runs",$G$4,"Name","Paul Martin (Betty)")/GETPIVOTDATA("Sum of Dismissals",$G$4,"Name","Paul Martin (Betty)")</f>
        <v>6.583333333333333</v>
      </c>
      <c r="P5" s="1"/>
      <c r="Q5" s="1"/>
    </row>
    <row r="6" spans="1:15" ht="12.75">
      <c r="A6" t="s">
        <v>23</v>
      </c>
      <c r="B6">
        <v>40</v>
      </c>
      <c r="C6">
        <v>0</v>
      </c>
      <c r="D6" t="s">
        <v>22</v>
      </c>
      <c r="E6">
        <v>1</v>
      </c>
      <c r="G6" s="4"/>
      <c r="H6" s="4"/>
      <c r="I6" s="6">
        <v>40</v>
      </c>
      <c r="J6" s="11">
        <v>26</v>
      </c>
      <c r="L6" t="s">
        <v>15</v>
      </c>
      <c r="M6" s="18">
        <f>GETPIVOTDATA("Sum of Runs",$G$4,"Name","Luke Turner (Ruth)","Game type",20)/GETPIVOTDATA("Sum of Dismissals",$G$4,"Name","Luke Turner (Ruth)","Game type",20)</f>
        <v>20</v>
      </c>
      <c r="N6" s="18">
        <f>GETPIVOTDATA("Sum of Runs",$G$4,"Name","Luke Turner (Ruth)","Game type",40)/GETPIVOTDATA("Sum of Dismissals",$G$4,"Name","Luke Turner (Ruth)","Game type",40)</f>
        <v>17.333333333333332</v>
      </c>
      <c r="O6" s="18">
        <f>GETPIVOTDATA("Sum of Runs",$G$4,"Name","Luke Turner (Ruth)")/GETPIVOTDATA("Sum of Dismissals",$G$4,"Name","Luke Turner (Ruth)")</f>
        <v>18.545454545454547</v>
      </c>
    </row>
    <row r="7" spans="1:15" ht="12.75">
      <c r="A7" t="s">
        <v>23</v>
      </c>
      <c r="B7">
        <v>40</v>
      </c>
      <c r="C7">
        <v>43</v>
      </c>
      <c r="D7" t="s">
        <v>24</v>
      </c>
      <c r="E7">
        <v>1</v>
      </c>
      <c r="G7" s="4"/>
      <c r="H7" s="2" t="s">
        <v>46</v>
      </c>
      <c r="I7" s="2">
        <v>20</v>
      </c>
      <c r="J7" s="10">
        <v>4</v>
      </c>
      <c r="L7" t="s">
        <v>9</v>
      </c>
      <c r="M7" s="18" t="e">
        <f>GETPIVOTDATA("Sum of Runs",$G$4,"Name","Gregory Sankaran","Game type",20)/GETPIVOTDATA("Sum of Dismissals",$G$4,"Name","Gregory Sankaran","Game type",20)</f>
        <v>#DIV/0!</v>
      </c>
      <c r="N7" s="18">
        <f>GETPIVOTDATA("Sum of Runs",$G$4,"Name","Gregory Sankaran","Game type",40)/GETPIVOTDATA("Sum of Dismissals",$G$4,"Name","Gregory Sankaran","Game type",40)</f>
        <v>3.25</v>
      </c>
      <c r="O7" s="18">
        <f>GETPIVOTDATA("Sum of Runs",$G$4,"Name","Gregory Sankaran")/GETPIVOTDATA("Sum of Dismissals",$G$4,"Name","Gregory Sankaran")</f>
        <v>3.5</v>
      </c>
    </row>
    <row r="8" spans="1:15" ht="12.75">
      <c r="A8" t="s">
        <v>23</v>
      </c>
      <c r="B8">
        <v>20</v>
      </c>
      <c r="C8">
        <v>0</v>
      </c>
      <c r="D8" t="s">
        <v>24</v>
      </c>
      <c r="E8">
        <v>1</v>
      </c>
      <c r="G8" s="4"/>
      <c r="H8" s="4"/>
      <c r="I8" s="6">
        <v>40</v>
      </c>
      <c r="J8" s="11">
        <v>6</v>
      </c>
      <c r="L8" t="s">
        <v>11</v>
      </c>
      <c r="M8" s="18">
        <f>GETPIVOTDATA("Sum of Runs",$G$4,"Name","Adam Dziedzic (Sally)","Game type",20)/GETPIVOTDATA("Sum of Dismissals",$G$4,"Name","Adam Dziedzic (Sally)","Game type",20)</f>
        <v>8.5</v>
      </c>
      <c r="N8" s="18">
        <f>GETPIVOTDATA("Sum of Runs",$G$4,"Name","Adam Dziedzic (Sally)","Game type",40)/GETPIVOTDATA("Sum of Dismissals",$G$4,"Name","Adam Dziedzic (Sally)","Game type",40)</f>
        <v>4.333333333333333</v>
      </c>
      <c r="O8" s="18">
        <f>GETPIVOTDATA("Sum of Runs",$G$4,"Name","Adam Dziedzic (Sally)")/GETPIVOTDATA("Sum of Dismissals",$G$4,"Name","Adam Dziedzic (Sally)")</f>
        <v>6</v>
      </c>
    </row>
    <row r="9" spans="1:15" ht="12.75">
      <c r="A9" t="s">
        <v>13</v>
      </c>
      <c r="B9">
        <v>40</v>
      </c>
      <c r="C9">
        <v>4</v>
      </c>
      <c r="D9" t="s">
        <v>25</v>
      </c>
      <c r="E9">
        <v>1</v>
      </c>
      <c r="G9" s="2" t="s">
        <v>49</v>
      </c>
      <c r="H9" s="3"/>
      <c r="I9" s="3"/>
      <c r="J9" s="10">
        <v>60</v>
      </c>
      <c r="L9" t="s">
        <v>6</v>
      </c>
      <c r="M9" s="18">
        <f>GETPIVOTDATA("Sum of Runs",$G$4,"Name","Paul Wilson","Game type",20)/GETPIVOTDATA("Sum of Dismissals",$G$4,"Name","Paul Wilson","Game type",20)</f>
        <v>10.4</v>
      </c>
      <c r="N9" s="18">
        <f>GETPIVOTDATA("Sum of Runs",$G$4,"Name","Paul Wilson","Game type",40)/GETPIVOTDATA("Sum of Dismissals",$G$4,"Name","Paul Wilson","Game type",40)</f>
        <v>20</v>
      </c>
      <c r="O9" s="18">
        <f>GETPIVOTDATA("Sum of Runs",$G$4,"Name","Paul Wilson")/GETPIVOTDATA("Sum of Dismissals",$G$4,"Name","Paul Wilson")</f>
        <v>12</v>
      </c>
    </row>
    <row r="10" spans="1:15" ht="12.75">
      <c r="A10" t="s">
        <v>13</v>
      </c>
      <c r="B10">
        <v>20</v>
      </c>
      <c r="C10">
        <v>23</v>
      </c>
      <c r="D10" t="s">
        <v>26</v>
      </c>
      <c r="E10">
        <v>1</v>
      </c>
      <c r="G10" s="2" t="s">
        <v>50</v>
      </c>
      <c r="H10" s="3"/>
      <c r="I10" s="3"/>
      <c r="J10" s="10">
        <v>10</v>
      </c>
      <c r="L10" t="s">
        <v>5</v>
      </c>
      <c r="M10" s="18">
        <f>GETPIVOTDATA("Sum of Runs",$G$4,"Name","Tom Carney","Game type",20)/GETPIVOTDATA("Sum of Dismissals",$G$4,"Name","Tom Carney","Game type",20)</f>
        <v>5.666666666666667</v>
      </c>
      <c r="N10" s="18">
        <f>GETPIVOTDATA("Sum of Runs",$G$4,"Name","Tom Carney","Game type",40)/GETPIVOTDATA("Sum of Dismissals",$G$4,"Name","Tom Carney","Game type",40)</f>
        <v>12.166666666666666</v>
      </c>
      <c r="O10" s="18">
        <f>GETPIVOTDATA("Sum of Runs",$G$4,"Name","Tom Carney")/GETPIVOTDATA("Sum of Dismissals",$G$4,"Name","Tom Carney")</f>
        <v>10</v>
      </c>
    </row>
    <row r="11" spans="1:15" ht="12.75">
      <c r="A11" t="s">
        <v>13</v>
      </c>
      <c r="B11">
        <v>40</v>
      </c>
      <c r="C11">
        <v>9</v>
      </c>
      <c r="D11" t="s">
        <v>24</v>
      </c>
      <c r="E11">
        <v>1</v>
      </c>
      <c r="G11" s="2" t="s">
        <v>21</v>
      </c>
      <c r="H11" s="2" t="s">
        <v>43</v>
      </c>
      <c r="I11" s="2">
        <v>40</v>
      </c>
      <c r="J11" s="10">
        <v>2</v>
      </c>
      <c r="L11" t="s">
        <v>10</v>
      </c>
      <c r="M11" s="18">
        <f>GETPIVOTDATA("Sum of Runs",$G$4,"Name","Ian Bezodis","Game type",20)/GETPIVOTDATA("Sum of Dismissals",$G$4,"Name","Ian Bezodis","Game type",20)</f>
        <v>14.666666666666666</v>
      </c>
      <c r="N11" s="18">
        <f>GETPIVOTDATA("Sum of Runs",$G$4,"Name","Ian Bezodis","Game type",40)/GETPIVOTDATA("Sum of Dismissals",$G$4,"Name","Ian Bezodis","Game type",40)</f>
        <v>20</v>
      </c>
      <c r="O11" s="18">
        <f>GETPIVOTDATA("Sum of Runs",$G$4,"Name","Ian Bezodis")/GETPIVOTDATA("Sum of Dismissals",$G$4,"Name","Ian Bezodis")</f>
        <v>16.8</v>
      </c>
    </row>
    <row r="12" spans="1:15" ht="12.75">
      <c r="A12" t="s">
        <v>13</v>
      </c>
      <c r="B12">
        <v>20</v>
      </c>
      <c r="C12">
        <v>9</v>
      </c>
      <c r="D12" t="s">
        <v>22</v>
      </c>
      <c r="E12">
        <v>1</v>
      </c>
      <c r="G12" s="4"/>
      <c r="H12" s="2" t="s">
        <v>46</v>
      </c>
      <c r="I12" s="2">
        <v>40</v>
      </c>
      <c r="J12" s="10">
        <v>1</v>
      </c>
      <c r="L12" t="s">
        <v>12</v>
      </c>
      <c r="M12" s="18">
        <f>GETPIVOTDATA("Sum of Runs",$G$4,"Name","Rhodri Morgan","Game type",20)/GETPIVOTDATA("Sum of Dismissals",$G$4,"Name","Rhodri Morgan","Game type",20)</f>
        <v>2</v>
      </c>
      <c r="N12" s="18">
        <f>GETPIVOTDATA("Sum of Runs",$G$4,"Name","Rhodri Morgan","Game type",40)/GETPIVOTDATA("Sum of Dismissals",$G$4,"Name","Rhodri Morgan","Game type",40)</f>
        <v>2.3333333333333335</v>
      </c>
      <c r="O12" s="18">
        <f>GETPIVOTDATA("Sum of Runs",$G$4,"Name","Rhodri Morgan")/GETPIVOTDATA("Sum of Dismissals",$G$4,"Name","Rhodri Morgan")</f>
        <v>2.2</v>
      </c>
    </row>
    <row r="13" spans="1:15" ht="12.75">
      <c r="A13" t="s">
        <v>13</v>
      </c>
      <c r="B13">
        <v>20</v>
      </c>
      <c r="C13">
        <v>4</v>
      </c>
      <c r="D13" t="s">
        <v>22</v>
      </c>
      <c r="E13">
        <v>1</v>
      </c>
      <c r="G13" s="2" t="s">
        <v>51</v>
      </c>
      <c r="H13" s="3"/>
      <c r="I13" s="3"/>
      <c r="J13" s="10">
        <v>2</v>
      </c>
      <c r="L13" t="s">
        <v>2</v>
      </c>
      <c r="M13" s="18">
        <f>GETPIVOTDATA("Sum of Runs",$G$4,"Name","James Dutton","Game type",20)/GETPIVOTDATA("Sum of Dismissals",$G$4,"Name","James Dutton","Game type",20)</f>
        <v>7.666666666666667</v>
      </c>
      <c r="N13" s="18">
        <f>GETPIVOTDATA("Sum of Runs",$G$4,"Name","James Dutton","Game type",40)/GETPIVOTDATA("Sum of Dismissals",$G$4,"Name","James Dutton","Game type",40)</f>
        <v>7.111111111111111</v>
      </c>
      <c r="O13" s="18">
        <f>GETPIVOTDATA("Sum of Runs",$G$4,"Name","James Dutton")/GETPIVOTDATA("Sum of Dismissals",$G$4,"Name","James Dutton")</f>
        <v>7.333333333333333</v>
      </c>
    </row>
    <row r="14" spans="1:15" ht="12.75">
      <c r="A14" t="s">
        <v>13</v>
      </c>
      <c r="B14">
        <v>20</v>
      </c>
      <c r="C14">
        <v>45</v>
      </c>
      <c r="D14" t="s">
        <v>27</v>
      </c>
      <c r="E14">
        <v>0</v>
      </c>
      <c r="G14" s="2" t="s">
        <v>52</v>
      </c>
      <c r="H14" s="3"/>
      <c r="I14" s="3"/>
      <c r="J14" s="10">
        <v>1</v>
      </c>
      <c r="L14" t="s">
        <v>3</v>
      </c>
      <c r="M14" s="18" t="s">
        <v>111</v>
      </c>
      <c r="N14" s="18">
        <f>GETPIVOTDATA("Sum of Runs",$G$4,"Name","Duncan Rance")/GETPIVOTDATA("Sum of Dismissals",$G$4,"Name","Duncan Rance")</f>
        <v>1.5</v>
      </c>
      <c r="O14" s="18">
        <f>GETPIVOTDATA("Sum of Runs",$G$4,"Name","Duncan Rance")/GETPIVOTDATA("Sum of Dismissals",$G$4,"Name","Duncan Rance")</f>
        <v>1.5</v>
      </c>
    </row>
    <row r="15" spans="1:15" ht="12.75">
      <c r="A15" t="s">
        <v>13</v>
      </c>
      <c r="B15">
        <v>20</v>
      </c>
      <c r="C15">
        <v>66</v>
      </c>
      <c r="D15" t="s">
        <v>22</v>
      </c>
      <c r="E15">
        <v>1</v>
      </c>
      <c r="G15" s="2" t="s">
        <v>32</v>
      </c>
      <c r="H15" s="2" t="s">
        <v>43</v>
      </c>
      <c r="I15" s="2">
        <v>20</v>
      </c>
      <c r="J15" s="10">
        <v>16</v>
      </c>
      <c r="L15" t="s">
        <v>4</v>
      </c>
      <c r="M15" s="18" t="s">
        <v>111</v>
      </c>
      <c r="N15" s="18">
        <f>GETPIVOTDATA("Sum of Runs",$G$4,"Name","Steve Lyall","Game type",40)/GETPIVOTDATA("Sum of Dismissals",$G$4,"Name","Steve Lyall","Game type",40)</f>
        <v>9.2</v>
      </c>
      <c r="O15" s="18">
        <f>GETPIVOTDATA("Sum of Runs",$G$4,"Name","Steve Lyall")/GETPIVOTDATA("Sum of Dismissals",$G$4,"Name","Steve Lyall")</f>
        <v>9.2</v>
      </c>
    </row>
    <row r="16" spans="1:15" ht="12.75">
      <c r="A16" t="s">
        <v>13</v>
      </c>
      <c r="B16">
        <v>40</v>
      </c>
      <c r="C16">
        <v>1</v>
      </c>
      <c r="D16" t="s">
        <v>22</v>
      </c>
      <c r="E16">
        <v>1</v>
      </c>
      <c r="G16" s="4"/>
      <c r="H16" s="4"/>
      <c r="I16" s="6">
        <v>40</v>
      </c>
      <c r="J16" s="11">
        <v>35</v>
      </c>
      <c r="L16" t="s">
        <v>41</v>
      </c>
      <c r="M16" s="18" t="s">
        <v>111</v>
      </c>
      <c r="N16" s="18">
        <f>GETPIVOTDATA("Sum of Runs",$G$4,"Name","Glyn Flinders (Polly)")/GETPIVOTDATA("Sum of Dismissals",$G$4,"Name","Glyn Flinders (Polly)")</f>
        <v>16</v>
      </c>
      <c r="O16" s="18">
        <f>GETPIVOTDATA("Sum of Runs",$G$4,"Name","Glyn Flinders (Polly)")/GETPIVOTDATA("Sum of Dismissals",$G$4,"Name","Glyn Flinders (Polly)")</f>
        <v>16</v>
      </c>
    </row>
    <row r="17" spans="1:15" ht="12.75">
      <c r="A17" t="s">
        <v>13</v>
      </c>
      <c r="B17">
        <v>40</v>
      </c>
      <c r="C17">
        <v>26</v>
      </c>
      <c r="D17" t="s">
        <v>22</v>
      </c>
      <c r="E17">
        <v>1</v>
      </c>
      <c r="G17" s="4"/>
      <c r="H17" s="2" t="s">
        <v>46</v>
      </c>
      <c r="I17" s="2">
        <v>20</v>
      </c>
      <c r="J17" s="10">
        <v>4</v>
      </c>
      <c r="L17" t="s">
        <v>16</v>
      </c>
      <c r="M17" s="18">
        <f>GETPIVOTDATA("Sum of Runs",$G$4,"Name","James Coughlan (Toni)","Game type",20)/GETPIVOTDATA("Sum of Dismissals",$G$4,"Name","James Coughlan (Toni)","Game type",20)</f>
        <v>12.5</v>
      </c>
      <c r="N17" s="18">
        <f>GETPIVOTDATA("Sum of Runs",$G$4,"Name","James Coughlan (Toni)","Game type",40)/GETPIVOTDATA("Sum of Dismissals",$G$4,"Name","James Coughlan (Toni)","Game type",40)</f>
        <v>8.25</v>
      </c>
      <c r="O17" s="18">
        <f>GETPIVOTDATA("Sum of Runs",$G$4,"Name","James Coughlan (Toni)")/GETPIVOTDATA("Sum of Dismissals",$G$4,"Name","James Coughlan (Toni)")</f>
        <v>9.666666666666666</v>
      </c>
    </row>
    <row r="18" spans="1:15" ht="12.75">
      <c r="A18" t="s">
        <v>13</v>
      </c>
      <c r="B18">
        <v>40</v>
      </c>
      <c r="C18">
        <v>1</v>
      </c>
      <c r="D18" t="s">
        <v>22</v>
      </c>
      <c r="E18">
        <v>1</v>
      </c>
      <c r="G18" s="4"/>
      <c r="H18" s="4"/>
      <c r="I18" s="6">
        <v>40</v>
      </c>
      <c r="J18" s="11">
        <v>3</v>
      </c>
      <c r="L18" t="s">
        <v>13</v>
      </c>
      <c r="M18" s="18">
        <f>GETPIVOTDATA("Sum of Runs",$G$4,"Name","Kevin  Robinson","Game type",20)/GETPIVOTDATA("Sum of Dismissals",$G$4,"Name","Kevin  Robinson","Game type",20)</f>
        <v>31</v>
      </c>
      <c r="N18" s="18">
        <f>GETPIVOTDATA("Sum of Runs",$G$4,"Name","Kevin  Robinson","Game type",40)/GETPIVOTDATA("Sum of Dismissals",$G$4,"Name","Kevin  Robinson","Game type",40)</f>
        <v>11</v>
      </c>
      <c r="O18" s="18">
        <f>GETPIVOTDATA("Sum of Runs",$G$4,"Name","Kevin  Robinson")/GETPIVOTDATA("Sum of Dismissals",$G$4,"Name","Kevin  Robinson")</f>
        <v>18.142857142857142</v>
      </c>
    </row>
    <row r="19" spans="1:15" ht="12.75">
      <c r="A19" t="s">
        <v>13</v>
      </c>
      <c r="B19">
        <v>20</v>
      </c>
      <c r="C19">
        <v>8</v>
      </c>
      <c r="D19" t="s">
        <v>22</v>
      </c>
      <c r="E19">
        <v>1</v>
      </c>
      <c r="G19" s="2" t="s">
        <v>53</v>
      </c>
      <c r="H19" s="3"/>
      <c r="I19" s="3"/>
      <c r="J19" s="10">
        <v>51</v>
      </c>
      <c r="L19" t="s">
        <v>14</v>
      </c>
      <c r="M19" s="18">
        <f>GETPIVOTDATA("Sum of Runs",$G$4,"Name","Mark Hornsey","Game type",20)/GETPIVOTDATA("Sum of Dismissals",$G$4,"Name","Mark Hornsey","Game type",20)</f>
        <v>46</v>
      </c>
      <c r="N19" s="18">
        <f>GETPIVOTDATA("Sum of Runs",$G$4,"Name","Mark Hornsey","Game type",40)/GETPIVOTDATA("Sum of Dismissals",$G$4,"Name","Mark Hornsey","Game type",40)</f>
        <v>19.571428571428573</v>
      </c>
      <c r="O19" s="18">
        <f>GETPIVOTDATA("Sum of Runs",$G$4,"Name","Mark Hornsey")/GETPIVOTDATA("Sum of Dismissals",$G$4,"Name","Mark Hornsey")</f>
        <v>27.5</v>
      </c>
    </row>
    <row r="20" spans="1:15" ht="12.75">
      <c r="A20" t="s">
        <v>13</v>
      </c>
      <c r="B20">
        <v>40</v>
      </c>
      <c r="C20">
        <v>14</v>
      </c>
      <c r="D20" t="s">
        <v>22</v>
      </c>
      <c r="E20">
        <v>1</v>
      </c>
      <c r="G20" s="2" t="s">
        <v>54</v>
      </c>
      <c r="H20" s="3"/>
      <c r="I20" s="3"/>
      <c r="J20" s="10">
        <v>7</v>
      </c>
      <c r="L20" t="s">
        <v>8</v>
      </c>
      <c r="M20" s="18">
        <f>GETPIVOTDATA("Sum of Runs",$G$4,"Name","Rob Branaston (Pickles)","Game type",20)/GETPIVOTDATA("Sum of Dismissals",$G$4,"Name","Rob Branaston (Pickles)","Game type",20)</f>
        <v>3</v>
      </c>
      <c r="N20" s="18">
        <f>GETPIVOTDATA("Sum of Runs",$G$4,"Name","Rob Branaston (Pickles)","Game type",40)/GETPIVOTDATA("Sum of Dismissals",$G$4,"Name","Rob Branaston (Pickles)","Game type",40)</f>
        <v>8.75</v>
      </c>
      <c r="O20" s="18">
        <f>GETPIVOTDATA("Sum of Runs",$G$4,"Name","Rob Branaston (Pickles)")/GETPIVOTDATA("Sum of Dismissals",$G$4,"Name","Rob Branaston (Pickles)")</f>
        <v>7.6</v>
      </c>
    </row>
    <row r="21" spans="1:15" ht="12.75">
      <c r="A21" t="s">
        <v>13</v>
      </c>
      <c r="B21">
        <v>40</v>
      </c>
      <c r="C21">
        <v>0</v>
      </c>
      <c r="D21" t="s">
        <v>22</v>
      </c>
      <c r="E21">
        <v>1</v>
      </c>
      <c r="G21" s="2" t="s">
        <v>38</v>
      </c>
      <c r="H21" s="2" t="s">
        <v>43</v>
      </c>
      <c r="I21" s="2">
        <v>20</v>
      </c>
      <c r="J21" s="10">
        <v>1</v>
      </c>
      <c r="L21" t="s">
        <v>21</v>
      </c>
      <c r="M21" s="18" t="s">
        <v>111</v>
      </c>
      <c r="N21" s="18">
        <f>GETPIVOTDATA("Sum of Runs",$G$4,"Name","Adrian")/GETPIVOTDATA("Sum of Dismissals",$G$4,"Name","Adrian")</f>
        <v>2</v>
      </c>
      <c r="O21" s="18">
        <f>GETPIVOTDATA("Sum of Runs",$G$4,"Name","Adrian")/GETPIVOTDATA("Sum of Dismissals",$G$4,"Name","Adrian")</f>
        <v>2</v>
      </c>
    </row>
    <row r="22" spans="1:15" ht="12.75">
      <c r="A22" t="s">
        <v>13</v>
      </c>
      <c r="B22">
        <v>40</v>
      </c>
      <c r="C22">
        <v>0</v>
      </c>
      <c r="D22" t="s">
        <v>24</v>
      </c>
      <c r="E22">
        <v>1</v>
      </c>
      <c r="G22" s="4"/>
      <c r="H22" s="4"/>
      <c r="I22" s="6">
        <v>40</v>
      </c>
      <c r="J22" s="11">
        <v>29</v>
      </c>
      <c r="L22" t="s">
        <v>32</v>
      </c>
      <c r="M22" s="18">
        <f>GETPIVOTDATA("Sum of Runs",$G$4,"Name","Alex Cox","Game type",20)/GETPIVOTDATA("Sum of Dismissals",$G$4,"Name","Alex Cox","Game type",20)</f>
        <v>4</v>
      </c>
      <c r="N22" s="18">
        <f>GETPIVOTDATA("Sum of Runs",$G$4,"Name","Alex Cox","Game type",40)/GETPIVOTDATA("Sum of Dismissals",$G$4,"Name","Alex Cox","Game type",40)</f>
        <v>11.666666666666666</v>
      </c>
      <c r="O22" s="18">
        <f>GETPIVOTDATA("Sum of Runs",$G$4,"Name","Alex Cox")/GETPIVOTDATA("Sum of Dismissals",$G$4,"Name","Alex Cox")</f>
        <v>7.285714285714286</v>
      </c>
    </row>
    <row r="23" spans="1:15" ht="12.75">
      <c r="A23" t="s">
        <v>13</v>
      </c>
      <c r="B23">
        <v>40</v>
      </c>
      <c r="C23">
        <v>44</v>
      </c>
      <c r="D23" t="s">
        <v>26</v>
      </c>
      <c r="E23">
        <v>1</v>
      </c>
      <c r="G23" s="4"/>
      <c r="H23" s="2" t="s">
        <v>46</v>
      </c>
      <c r="I23" s="2">
        <v>20</v>
      </c>
      <c r="J23" s="10">
        <v>1</v>
      </c>
      <c r="L23" t="s">
        <v>38</v>
      </c>
      <c r="M23" s="18">
        <f>GETPIVOTDATA("Sum of Runs",$G$4,"Name","Barrie Cooper","Game type",20)/GETPIVOTDATA("Sum of Dismissals",$G$4,"Name","Barrie Cooper","Game type",20)</f>
        <v>1</v>
      </c>
      <c r="N23" s="18">
        <f>GETPIVOTDATA("Sum of Runs",$G$4,"Name","Barrie Cooper","Game type",40)/GETPIVOTDATA("Sum of Dismissals",$G$4,"Name","Barrie Cooper","Game type",40)</f>
        <v>14.5</v>
      </c>
      <c r="O23" s="18">
        <f>GETPIVOTDATA("Sum of Runs",$G$4,"Name","Barrie Cooper")/GETPIVOTDATA("Sum of Dismissals",$G$4,"Name","Barrie Cooper")</f>
        <v>10</v>
      </c>
    </row>
    <row r="24" spans="1:15" ht="12.75">
      <c r="A24" t="s">
        <v>28</v>
      </c>
      <c r="B24">
        <v>40</v>
      </c>
      <c r="C24">
        <v>44</v>
      </c>
      <c r="D24" t="s">
        <v>22</v>
      </c>
      <c r="E24">
        <v>1</v>
      </c>
      <c r="G24" s="4"/>
      <c r="H24" s="4"/>
      <c r="I24" s="6">
        <v>40</v>
      </c>
      <c r="J24" s="11">
        <v>2</v>
      </c>
      <c r="L24" t="s">
        <v>37</v>
      </c>
      <c r="M24" s="18">
        <f>GETPIVOTDATA("Sum of Runs",$G$4,"Name","David Sykes","Game type",20)/GETPIVOTDATA("Sum of Dismissals",$G$4,"Name","David Sykes","Game type",20)</f>
        <v>18</v>
      </c>
      <c r="N24" s="18" t="s">
        <v>111</v>
      </c>
      <c r="O24" s="18">
        <f>GETPIVOTDATA("Sum of Runs",$G$4,"Name","David Sykes")/GETPIVOTDATA("Sum of Dismissals",$G$4,"Name","David Sykes")</f>
        <v>18</v>
      </c>
    </row>
    <row r="25" spans="1:15" ht="12.75">
      <c r="A25" t="s">
        <v>7</v>
      </c>
      <c r="B25">
        <v>40</v>
      </c>
      <c r="C25">
        <v>2</v>
      </c>
      <c r="D25" t="s">
        <v>26</v>
      </c>
      <c r="E25">
        <v>1</v>
      </c>
      <c r="G25" s="2" t="s">
        <v>55</v>
      </c>
      <c r="H25" s="3"/>
      <c r="I25" s="3"/>
      <c r="J25" s="10">
        <v>30</v>
      </c>
      <c r="L25" t="s">
        <v>30</v>
      </c>
      <c r="M25" s="18">
        <f>GETPIVOTDATA("Sum of Runs",$G$4,"Name","Duncan Lee (Bettina)","Game type",20)/GETPIVOTDATA("Sum of Dismissals",$G$4,"Name","Duncan Lee (Bettina)","Game type",20)</f>
        <v>20</v>
      </c>
      <c r="N25" s="18">
        <f>GETPIVOTDATA("Sum of Runs",$G$4,"Name","Duncan Lee (Bettina)","Game type",40)/GETPIVOTDATA("Sum of Dismissals",$G$4,"Name","Duncan Lee (Bettina)","Game type",40)</f>
        <v>35</v>
      </c>
      <c r="O25" s="18">
        <f>GETPIVOTDATA("Sum of Runs",$G$4,"Name","Duncan Lee (Bettina)")/GETPIVOTDATA("Sum of Dismissals",$G$4,"Name","Duncan Lee (Bettina)")</f>
        <v>29</v>
      </c>
    </row>
    <row r="26" spans="1:15" ht="12.75">
      <c r="A26" t="s">
        <v>7</v>
      </c>
      <c r="B26">
        <v>40</v>
      </c>
      <c r="C26">
        <v>14</v>
      </c>
      <c r="D26" t="s">
        <v>24</v>
      </c>
      <c r="E26">
        <v>1</v>
      </c>
      <c r="G26" s="2" t="s">
        <v>56</v>
      </c>
      <c r="H26" s="3"/>
      <c r="I26" s="3"/>
      <c r="J26" s="10">
        <v>3</v>
      </c>
      <c r="L26" t="s">
        <v>28</v>
      </c>
      <c r="M26" s="18" t="s">
        <v>111</v>
      </c>
      <c r="N26" s="18">
        <f>GETPIVOTDATA("Sum of Runs",$G$4,"Name","John Cook")/GETPIVOTDATA("Sum of Dismissals",$G$4,"Name","John Cook")</f>
        <v>44</v>
      </c>
      <c r="O26" s="18">
        <f>GETPIVOTDATA("Sum of Runs",$G$4,"Name","John Cook")/GETPIVOTDATA("Sum of Dismissals",$G$4,"Name","John Cook")</f>
        <v>44</v>
      </c>
    </row>
    <row r="27" spans="1:15" ht="12.75">
      <c r="A27" t="s">
        <v>7</v>
      </c>
      <c r="B27">
        <v>40</v>
      </c>
      <c r="C27">
        <v>16</v>
      </c>
      <c r="D27" t="s">
        <v>22</v>
      </c>
      <c r="E27">
        <v>1</v>
      </c>
      <c r="G27" s="2" t="s">
        <v>37</v>
      </c>
      <c r="H27" s="2" t="s">
        <v>43</v>
      </c>
      <c r="I27" s="2">
        <v>20</v>
      </c>
      <c r="J27" s="10">
        <v>18</v>
      </c>
      <c r="L27" t="s">
        <v>34</v>
      </c>
      <c r="M27" s="18">
        <f>GETPIVOTDATA("Sum of Runs",$G$4,"Name","John Harris","Game type",20)/GETPIVOTDATA("Sum of Dismissals",$G$4,"Name","John Harris","Game type",20)</f>
        <v>6.333333333333333</v>
      </c>
      <c r="N27" s="18">
        <f>GETPIVOTDATA("Sum of Runs",$G$4,"Name","John Harris","Game type",40)/GETPIVOTDATA("Sum of Dismissals",$G$4,"Name","John Harris","Game type",40)</f>
        <v>25.5</v>
      </c>
      <c r="O27" s="18">
        <f>GETPIVOTDATA("Sum of Runs",$G$4,"Name","John Harris")/GETPIVOTDATA("Sum of Dismissals",$G$4,"Name","John Harris")</f>
        <v>14</v>
      </c>
    </row>
    <row r="28" spans="1:15" ht="12.75">
      <c r="A28" t="s">
        <v>7</v>
      </c>
      <c r="B28">
        <v>20</v>
      </c>
      <c r="C28">
        <v>14</v>
      </c>
      <c r="D28" t="s">
        <v>22</v>
      </c>
      <c r="E28">
        <v>1</v>
      </c>
      <c r="G28" s="4"/>
      <c r="H28" s="2" t="s">
        <v>46</v>
      </c>
      <c r="I28" s="2">
        <v>20</v>
      </c>
      <c r="J28" s="10">
        <v>1</v>
      </c>
      <c r="L28" t="s">
        <v>35</v>
      </c>
      <c r="M28" s="18" t="s">
        <v>111</v>
      </c>
      <c r="N28" s="18">
        <f>GETPIVOTDATA("Sum of Runs",$G$4,"Name","Kartyk","Game type",40)/GETPIVOTDATA("Sum of Dismissals",$G$4,"Name","Kartyk","Game type",40)</f>
        <v>7.5</v>
      </c>
      <c r="O28" s="18">
        <f>GETPIVOTDATA("Sum of Runs",$G$4,"Name","Kartyk")/GETPIVOTDATA("Sum of Dismissals",$G$4,"Name","Kartyk")</f>
        <v>7.5</v>
      </c>
    </row>
    <row r="29" spans="1:15" ht="12.75">
      <c r="A29" t="s">
        <v>7</v>
      </c>
      <c r="B29">
        <v>20</v>
      </c>
      <c r="C29">
        <v>2</v>
      </c>
      <c r="D29" t="s">
        <v>24</v>
      </c>
      <c r="E29">
        <v>1</v>
      </c>
      <c r="G29" s="2" t="s">
        <v>57</v>
      </c>
      <c r="H29" s="3"/>
      <c r="I29" s="3"/>
      <c r="J29" s="10">
        <v>18</v>
      </c>
      <c r="L29" t="s">
        <v>31</v>
      </c>
      <c r="M29" s="18" t="s">
        <v>111</v>
      </c>
      <c r="N29" s="18" t="e">
        <f>GETPIVOTDATA("Sum of Runs",$G$4,"Name","Mike Whittlesay","Game type",40)/GETPIVOTDATA("Sum of Dismissals",$G$4,"Name","Mike Whittlesay","Game type",40)</f>
        <v>#REF!</v>
      </c>
      <c r="O29" s="18" t="e">
        <f>GETPIVOTDATA("Sum of Runs",$G$4,"Name","Mike Whittlesay")/GETPIVOTDATA("Sum of Dismissals",$G$4,"Name","Mike Whittlesay")</f>
        <v>#REF!</v>
      </c>
    </row>
    <row r="30" spans="1:15" ht="12.75">
      <c r="A30" t="s">
        <v>7</v>
      </c>
      <c r="B30">
        <v>40</v>
      </c>
      <c r="C30">
        <v>4</v>
      </c>
      <c r="D30" t="s">
        <v>22</v>
      </c>
      <c r="E30">
        <v>1</v>
      </c>
      <c r="G30" s="2" t="s">
        <v>58</v>
      </c>
      <c r="H30" s="3"/>
      <c r="I30" s="3"/>
      <c r="J30" s="10">
        <v>1</v>
      </c>
      <c r="L30" t="s">
        <v>40</v>
      </c>
      <c r="M30" s="18" t="s">
        <v>111</v>
      </c>
      <c r="N30" s="18">
        <f>GETPIVOTDATA("Sum of Runs",$G$4,"Name","Neil Pollock","Game type",40)/GETPIVOTDATA("Sum of Dismissals",$G$4,"Name","Neil Pollock","Game type",40)</f>
        <v>3</v>
      </c>
      <c r="O30" s="18">
        <f>GETPIVOTDATA("Sum of Runs",$G$4,"Name","Neil Pollock")/GETPIVOTDATA("Sum of Dismissals",$G$4,"Name","Neil Pollock")</f>
        <v>3</v>
      </c>
    </row>
    <row r="31" spans="1:15" ht="12.75">
      <c r="A31" t="s">
        <v>7</v>
      </c>
      <c r="B31">
        <v>40</v>
      </c>
      <c r="C31">
        <v>2</v>
      </c>
      <c r="D31" t="s">
        <v>24</v>
      </c>
      <c r="E31">
        <v>1</v>
      </c>
      <c r="G31" s="2" t="s">
        <v>30</v>
      </c>
      <c r="H31" s="2" t="s">
        <v>43</v>
      </c>
      <c r="I31" s="2">
        <v>20</v>
      </c>
      <c r="J31" s="10">
        <v>80</v>
      </c>
      <c r="L31" t="s">
        <v>36</v>
      </c>
      <c r="M31" s="18" t="s">
        <v>111</v>
      </c>
      <c r="N31" s="18">
        <f>GETPIVOTDATA("Sum of Runs",$G$4,"Name","Paul Bird","Game type",20)/GETPIVOTDATA("Sum of Dismissals",$G$4,"Name","Paul Bird","Game type",20)</f>
        <v>38</v>
      </c>
      <c r="O31" s="18">
        <f>GETPIVOTDATA("Sum of Runs",$G$4,"Name","Paul Bird")/GETPIVOTDATA("Sum of Dismissals",$G$4,"Name","Paul Bird")</f>
        <v>38</v>
      </c>
    </row>
    <row r="32" spans="1:15" ht="12.75">
      <c r="A32" t="s">
        <v>7</v>
      </c>
      <c r="B32">
        <v>40</v>
      </c>
      <c r="C32">
        <v>0</v>
      </c>
      <c r="D32" t="s">
        <v>22</v>
      </c>
      <c r="E32">
        <v>1</v>
      </c>
      <c r="G32" s="4"/>
      <c r="H32" s="4"/>
      <c r="I32" s="6">
        <v>40</v>
      </c>
      <c r="J32" s="11">
        <v>210</v>
      </c>
      <c r="L32" t="s">
        <v>33</v>
      </c>
      <c r="M32" s="18" t="s">
        <v>111</v>
      </c>
      <c r="N32">
        <f>GETPIVOTDATA("Sum of Runs",$G$4,"Name","Paul Snow","Game type",40)/GETPIVOTDATA("Sum of Dismissals",$G$4,"Name","Paul Snow","Game type",40)</f>
        <v>2</v>
      </c>
      <c r="O32">
        <f>GETPIVOTDATA("Sum of Runs",$G$4,"Name","Paul Snow")/GETPIVOTDATA("Sum of Dismissals",$G$4,"Name","Paul Snow")</f>
        <v>2</v>
      </c>
    </row>
    <row r="33" spans="1:15" ht="12.75">
      <c r="A33" t="s">
        <v>7</v>
      </c>
      <c r="B33">
        <v>40</v>
      </c>
      <c r="C33">
        <v>8</v>
      </c>
      <c r="D33" t="s">
        <v>24</v>
      </c>
      <c r="E33">
        <v>1</v>
      </c>
      <c r="G33" s="4"/>
      <c r="H33" s="2" t="s">
        <v>46</v>
      </c>
      <c r="I33" s="2">
        <v>20</v>
      </c>
      <c r="J33" s="10">
        <v>4</v>
      </c>
      <c r="L33" t="s">
        <v>23</v>
      </c>
      <c r="M33" s="18" t="s">
        <v>111</v>
      </c>
      <c r="N33">
        <f>GETPIVOTDATA("Sum of Runs",$G$4,"Name","Simon Elliman")/GETPIVOTDATA("Sum of Dismissals",$G$4,"Name","Simon Elliman")</f>
        <v>14.333333333333334</v>
      </c>
      <c r="O33">
        <f>GETPIVOTDATA("Sum of Runs",$G$4,"Name","Simon Elliman")/GETPIVOTDATA("Sum of Dismissals",$G$4,"Name","Simon Elliman")</f>
        <v>14.333333333333334</v>
      </c>
    </row>
    <row r="34" spans="1:15" ht="12.75">
      <c r="A34" t="s">
        <v>7</v>
      </c>
      <c r="B34">
        <v>40</v>
      </c>
      <c r="C34">
        <v>17</v>
      </c>
      <c r="D34" t="s">
        <v>24</v>
      </c>
      <c r="E34">
        <v>1</v>
      </c>
      <c r="G34" s="4"/>
      <c r="H34" s="4"/>
      <c r="I34" s="6">
        <v>40</v>
      </c>
      <c r="J34" s="11">
        <v>6</v>
      </c>
      <c r="L34" t="s">
        <v>39</v>
      </c>
      <c r="M34" s="18" t="s">
        <v>111</v>
      </c>
      <c r="N34">
        <f>GETPIVOTDATA("Sum of Runs",$G$4,"Name","Tim Taylor")/GETPIVOTDATA("Sum of Dismissals",$G$4,"Name","Tim Taylor")</f>
        <v>0</v>
      </c>
      <c r="O34">
        <f>GETPIVOTDATA("Sum of Runs",$G$4,"Name","Tim Taylor")/GETPIVOTDATA("Sum of Dismissals",$G$4,"Name","Tim Taylor")</f>
        <v>0</v>
      </c>
    </row>
    <row r="35" spans="1:10" ht="12.75">
      <c r="A35" t="s">
        <v>7</v>
      </c>
      <c r="B35">
        <v>40</v>
      </c>
      <c r="C35">
        <v>0</v>
      </c>
      <c r="D35" t="s">
        <v>22</v>
      </c>
      <c r="E35">
        <v>1</v>
      </c>
      <c r="G35" s="2" t="s">
        <v>59</v>
      </c>
      <c r="H35" s="3"/>
      <c r="I35" s="3"/>
      <c r="J35" s="10">
        <v>290</v>
      </c>
    </row>
    <row r="36" spans="1:10" ht="12.75">
      <c r="A36" t="s">
        <v>7</v>
      </c>
      <c r="B36">
        <v>40</v>
      </c>
      <c r="C36">
        <v>0</v>
      </c>
      <c r="D36" t="s">
        <v>24</v>
      </c>
      <c r="E36">
        <v>1</v>
      </c>
      <c r="G36" s="2" t="s">
        <v>60</v>
      </c>
      <c r="H36" s="3"/>
      <c r="I36" s="3"/>
      <c r="J36" s="10">
        <v>10</v>
      </c>
    </row>
    <row r="37" spans="1:10" ht="12.75">
      <c r="A37" t="s">
        <v>5</v>
      </c>
      <c r="B37">
        <v>40</v>
      </c>
      <c r="C37">
        <v>0</v>
      </c>
      <c r="D37" t="s">
        <v>25</v>
      </c>
      <c r="E37">
        <v>1</v>
      </c>
      <c r="G37" s="2" t="s">
        <v>3</v>
      </c>
      <c r="H37" s="2" t="s">
        <v>43</v>
      </c>
      <c r="I37" s="2">
        <v>40</v>
      </c>
      <c r="J37" s="10">
        <v>3</v>
      </c>
    </row>
    <row r="38" spans="1:10" ht="12.75">
      <c r="A38" t="s">
        <v>5</v>
      </c>
      <c r="B38">
        <v>20</v>
      </c>
      <c r="C38">
        <v>0</v>
      </c>
      <c r="D38" t="s">
        <v>24</v>
      </c>
      <c r="E38">
        <v>1</v>
      </c>
      <c r="G38" s="4"/>
      <c r="H38" s="2" t="s">
        <v>46</v>
      </c>
      <c r="I38" s="2">
        <v>40</v>
      </c>
      <c r="J38" s="10">
        <v>2</v>
      </c>
    </row>
    <row r="39" spans="1:10" ht="12.75">
      <c r="A39" t="s">
        <v>5</v>
      </c>
      <c r="B39">
        <v>40</v>
      </c>
      <c r="C39">
        <v>0</v>
      </c>
      <c r="D39" t="s">
        <v>25</v>
      </c>
      <c r="E39">
        <v>1</v>
      </c>
      <c r="G39" s="2" t="s">
        <v>61</v>
      </c>
      <c r="H39" s="3"/>
      <c r="I39" s="3"/>
      <c r="J39" s="10">
        <v>3</v>
      </c>
    </row>
    <row r="40" spans="1:10" ht="12.75">
      <c r="A40" t="s">
        <v>5</v>
      </c>
      <c r="B40">
        <v>20</v>
      </c>
      <c r="C40">
        <v>12</v>
      </c>
      <c r="D40" t="s">
        <v>27</v>
      </c>
      <c r="E40">
        <v>0</v>
      </c>
      <c r="G40" s="2" t="s">
        <v>62</v>
      </c>
      <c r="H40" s="3"/>
      <c r="I40" s="3"/>
      <c r="J40" s="10">
        <v>2</v>
      </c>
    </row>
    <row r="41" spans="1:10" ht="12.75">
      <c r="A41" t="s">
        <v>5</v>
      </c>
      <c r="B41">
        <v>40</v>
      </c>
      <c r="C41">
        <v>16</v>
      </c>
      <c r="D41" t="s">
        <v>22</v>
      </c>
      <c r="E41">
        <v>1</v>
      </c>
      <c r="G41" s="2" t="s">
        <v>41</v>
      </c>
      <c r="H41" s="2" t="s">
        <v>43</v>
      </c>
      <c r="I41" s="2">
        <v>40</v>
      </c>
      <c r="J41" s="10">
        <v>32</v>
      </c>
    </row>
    <row r="42" spans="1:10" ht="12.75">
      <c r="A42" t="s">
        <v>5</v>
      </c>
      <c r="B42">
        <v>20</v>
      </c>
      <c r="C42">
        <v>0</v>
      </c>
      <c r="D42" t="s">
        <v>25</v>
      </c>
      <c r="E42">
        <v>1</v>
      </c>
      <c r="G42" s="4"/>
      <c r="H42" s="2" t="s">
        <v>46</v>
      </c>
      <c r="I42" s="2">
        <v>40</v>
      </c>
      <c r="J42" s="10">
        <v>2</v>
      </c>
    </row>
    <row r="43" spans="1:10" ht="12.75">
      <c r="A43" t="s">
        <v>5</v>
      </c>
      <c r="B43">
        <v>20</v>
      </c>
      <c r="C43">
        <v>5</v>
      </c>
      <c r="D43" t="s">
        <v>29</v>
      </c>
      <c r="E43">
        <v>1</v>
      </c>
      <c r="G43" s="2" t="s">
        <v>63</v>
      </c>
      <c r="H43" s="3"/>
      <c r="I43" s="3"/>
      <c r="J43" s="10">
        <v>32</v>
      </c>
    </row>
    <row r="44" spans="1:10" ht="12.75">
      <c r="A44" t="s">
        <v>5</v>
      </c>
      <c r="B44">
        <v>40</v>
      </c>
      <c r="C44">
        <v>0</v>
      </c>
      <c r="D44" t="s">
        <v>22</v>
      </c>
      <c r="E44">
        <v>1</v>
      </c>
      <c r="G44" s="2" t="s">
        <v>64</v>
      </c>
      <c r="H44" s="3"/>
      <c r="I44" s="3"/>
      <c r="J44" s="10">
        <v>2</v>
      </c>
    </row>
    <row r="45" spans="1:10" ht="12.75">
      <c r="A45" t="s">
        <v>5</v>
      </c>
      <c r="B45">
        <v>40</v>
      </c>
      <c r="C45">
        <v>14</v>
      </c>
      <c r="D45" t="s">
        <v>24</v>
      </c>
      <c r="E45">
        <v>1</v>
      </c>
      <c r="G45" s="2" t="s">
        <v>9</v>
      </c>
      <c r="H45" s="2" t="s">
        <v>43</v>
      </c>
      <c r="I45" s="2">
        <v>20</v>
      </c>
      <c r="J45" s="10">
        <v>1</v>
      </c>
    </row>
    <row r="46" spans="1:10" ht="12.75">
      <c r="A46" t="s">
        <v>5</v>
      </c>
      <c r="B46">
        <v>40</v>
      </c>
      <c r="C46">
        <v>43</v>
      </c>
      <c r="D46" t="s">
        <v>24</v>
      </c>
      <c r="E46">
        <v>1</v>
      </c>
      <c r="G46" s="4"/>
      <c r="H46" s="4"/>
      <c r="I46" s="6">
        <v>40</v>
      </c>
      <c r="J46" s="11">
        <v>13</v>
      </c>
    </row>
    <row r="47" spans="1:10" ht="12.75">
      <c r="A47" t="s">
        <v>14</v>
      </c>
      <c r="B47">
        <v>40</v>
      </c>
      <c r="C47">
        <v>1</v>
      </c>
      <c r="D47" t="s">
        <v>24</v>
      </c>
      <c r="E47">
        <v>1</v>
      </c>
      <c r="G47" s="4"/>
      <c r="H47" s="2" t="s">
        <v>46</v>
      </c>
      <c r="I47" s="2">
        <v>20</v>
      </c>
      <c r="J47" s="10">
        <v>0</v>
      </c>
    </row>
    <row r="48" spans="1:10" ht="12.75">
      <c r="A48" t="s">
        <v>14</v>
      </c>
      <c r="B48">
        <v>20</v>
      </c>
      <c r="C48">
        <v>47</v>
      </c>
      <c r="D48" t="s">
        <v>24</v>
      </c>
      <c r="E48">
        <v>1</v>
      </c>
      <c r="G48" s="4"/>
      <c r="H48" s="4"/>
      <c r="I48" s="6">
        <v>40</v>
      </c>
      <c r="J48" s="11">
        <v>4</v>
      </c>
    </row>
    <row r="49" spans="1:10" ht="12.75">
      <c r="A49" t="s">
        <v>14</v>
      </c>
      <c r="B49">
        <v>20</v>
      </c>
      <c r="C49">
        <v>12</v>
      </c>
      <c r="D49" t="s">
        <v>27</v>
      </c>
      <c r="E49">
        <v>0</v>
      </c>
      <c r="G49" s="2" t="s">
        <v>65</v>
      </c>
      <c r="H49" s="3"/>
      <c r="I49" s="3"/>
      <c r="J49" s="10">
        <v>14</v>
      </c>
    </row>
    <row r="50" spans="1:10" ht="12.75">
      <c r="A50" t="s">
        <v>14</v>
      </c>
      <c r="B50">
        <v>20</v>
      </c>
      <c r="C50">
        <v>8</v>
      </c>
      <c r="D50" t="s">
        <v>24</v>
      </c>
      <c r="E50">
        <v>1</v>
      </c>
      <c r="G50" s="2" t="s">
        <v>66</v>
      </c>
      <c r="H50" s="3"/>
      <c r="I50" s="3"/>
      <c r="J50" s="10">
        <v>4</v>
      </c>
    </row>
    <row r="51" spans="1:10" ht="12.75">
      <c r="A51" t="s">
        <v>14</v>
      </c>
      <c r="B51">
        <v>40</v>
      </c>
      <c r="C51">
        <v>17</v>
      </c>
      <c r="D51" t="s">
        <v>22</v>
      </c>
      <c r="E51">
        <v>1</v>
      </c>
      <c r="G51" s="2" t="s">
        <v>10</v>
      </c>
      <c r="H51" s="2" t="s">
        <v>43</v>
      </c>
      <c r="I51" s="2">
        <v>20</v>
      </c>
      <c r="J51" s="10">
        <v>44</v>
      </c>
    </row>
    <row r="52" spans="1:10" ht="12.75">
      <c r="A52" t="s">
        <v>14</v>
      </c>
      <c r="B52">
        <v>20</v>
      </c>
      <c r="C52">
        <v>23</v>
      </c>
      <c r="D52" t="s">
        <v>26</v>
      </c>
      <c r="E52">
        <v>1</v>
      </c>
      <c r="G52" s="4"/>
      <c r="H52" s="4"/>
      <c r="I52" s="6">
        <v>40</v>
      </c>
      <c r="J52" s="11">
        <v>40</v>
      </c>
    </row>
    <row r="53" spans="1:10" ht="12.75">
      <c r="A53" t="s">
        <v>14</v>
      </c>
      <c r="B53">
        <v>40</v>
      </c>
      <c r="C53">
        <v>15</v>
      </c>
      <c r="D53" t="s">
        <v>22</v>
      </c>
      <c r="E53">
        <v>1</v>
      </c>
      <c r="G53" s="4"/>
      <c r="H53" s="2" t="s">
        <v>46</v>
      </c>
      <c r="I53" s="2">
        <v>20</v>
      </c>
      <c r="J53" s="10">
        <v>3</v>
      </c>
    </row>
    <row r="54" spans="1:10" ht="12.75">
      <c r="A54" t="s">
        <v>14</v>
      </c>
      <c r="B54">
        <v>20</v>
      </c>
      <c r="C54">
        <v>48</v>
      </c>
      <c r="D54" t="s">
        <v>27</v>
      </c>
      <c r="E54">
        <v>0</v>
      </c>
      <c r="G54" s="4"/>
      <c r="H54" s="4"/>
      <c r="I54" s="6">
        <v>40</v>
      </c>
      <c r="J54" s="11">
        <v>2</v>
      </c>
    </row>
    <row r="55" spans="1:10" ht="12.75">
      <c r="A55" t="s">
        <v>14</v>
      </c>
      <c r="B55">
        <v>40</v>
      </c>
      <c r="C55">
        <v>42</v>
      </c>
      <c r="D55" t="s">
        <v>24</v>
      </c>
      <c r="E55">
        <v>1</v>
      </c>
      <c r="G55" s="2" t="s">
        <v>67</v>
      </c>
      <c r="H55" s="3"/>
      <c r="I55" s="3"/>
      <c r="J55" s="10">
        <v>84</v>
      </c>
    </row>
    <row r="56" spans="1:10" ht="12.75">
      <c r="A56" t="s">
        <v>14</v>
      </c>
      <c r="B56">
        <v>40</v>
      </c>
      <c r="C56">
        <v>0</v>
      </c>
      <c r="D56" t="s">
        <v>27</v>
      </c>
      <c r="E56">
        <v>0</v>
      </c>
      <c r="G56" s="2" t="s">
        <v>68</v>
      </c>
      <c r="H56" s="3"/>
      <c r="I56" s="3"/>
      <c r="J56" s="10">
        <v>5</v>
      </c>
    </row>
    <row r="57" spans="1:10" ht="12.75">
      <c r="A57" t="s">
        <v>14</v>
      </c>
      <c r="B57">
        <v>40</v>
      </c>
      <c r="C57">
        <v>0</v>
      </c>
      <c r="D57" t="s">
        <v>24</v>
      </c>
      <c r="E57">
        <v>1</v>
      </c>
      <c r="G57" s="2" t="s">
        <v>16</v>
      </c>
      <c r="H57" s="2" t="s">
        <v>43</v>
      </c>
      <c r="I57" s="2">
        <v>20</v>
      </c>
      <c r="J57" s="10">
        <v>25</v>
      </c>
    </row>
    <row r="58" spans="1:10" ht="12.75">
      <c r="A58" t="s">
        <v>14</v>
      </c>
      <c r="B58">
        <v>40</v>
      </c>
      <c r="C58">
        <v>0</v>
      </c>
      <c r="D58" t="s">
        <v>24</v>
      </c>
      <c r="E58">
        <v>1</v>
      </c>
      <c r="G58" s="4"/>
      <c r="H58" s="4"/>
      <c r="I58" s="6">
        <v>40</v>
      </c>
      <c r="J58" s="11">
        <v>33</v>
      </c>
    </row>
    <row r="59" spans="1:10" ht="12.75">
      <c r="A59" t="s">
        <v>14</v>
      </c>
      <c r="B59">
        <v>40</v>
      </c>
      <c r="C59">
        <v>62</v>
      </c>
      <c r="D59" t="s">
        <v>24</v>
      </c>
      <c r="E59">
        <v>1</v>
      </c>
      <c r="G59" s="4"/>
      <c r="H59" s="2" t="s">
        <v>46</v>
      </c>
      <c r="I59" s="2">
        <v>20</v>
      </c>
      <c r="J59" s="10">
        <v>2</v>
      </c>
    </row>
    <row r="60" spans="1:10" ht="12.75">
      <c r="A60" t="s">
        <v>30</v>
      </c>
      <c r="B60">
        <v>40</v>
      </c>
      <c r="C60">
        <v>26</v>
      </c>
      <c r="D60" t="s">
        <v>27</v>
      </c>
      <c r="E60">
        <v>0</v>
      </c>
      <c r="G60" s="4"/>
      <c r="H60" s="4"/>
      <c r="I60" s="6">
        <v>40</v>
      </c>
      <c r="J60" s="11">
        <v>4</v>
      </c>
    </row>
    <row r="61" spans="1:10" ht="12.75">
      <c r="A61" t="s">
        <v>30</v>
      </c>
      <c r="B61">
        <v>40</v>
      </c>
      <c r="C61">
        <v>20</v>
      </c>
      <c r="D61" t="s">
        <v>27</v>
      </c>
      <c r="E61">
        <v>0</v>
      </c>
      <c r="G61" s="2" t="s">
        <v>69</v>
      </c>
      <c r="H61" s="3"/>
      <c r="I61" s="3"/>
      <c r="J61" s="10">
        <v>58</v>
      </c>
    </row>
    <row r="62" spans="1:10" ht="12.75">
      <c r="A62" t="s">
        <v>30</v>
      </c>
      <c r="B62">
        <v>20</v>
      </c>
      <c r="C62">
        <v>25</v>
      </c>
      <c r="D62" t="s">
        <v>29</v>
      </c>
      <c r="E62">
        <v>1</v>
      </c>
      <c r="G62" s="2" t="s">
        <v>70</v>
      </c>
      <c r="H62" s="3"/>
      <c r="I62" s="3"/>
      <c r="J62" s="10">
        <v>6</v>
      </c>
    </row>
    <row r="63" spans="1:10" ht="12.75">
      <c r="A63" t="s">
        <v>30</v>
      </c>
      <c r="B63">
        <v>20</v>
      </c>
      <c r="C63">
        <v>0</v>
      </c>
      <c r="D63" t="s">
        <v>24</v>
      </c>
      <c r="E63">
        <v>1</v>
      </c>
      <c r="G63" s="2" t="s">
        <v>2</v>
      </c>
      <c r="H63" s="2" t="s">
        <v>43</v>
      </c>
      <c r="I63" s="2">
        <v>20</v>
      </c>
      <c r="J63" s="10">
        <v>46</v>
      </c>
    </row>
    <row r="64" spans="1:10" ht="12.75">
      <c r="A64" t="s">
        <v>30</v>
      </c>
      <c r="B64">
        <v>40</v>
      </c>
      <c r="C64">
        <v>70</v>
      </c>
      <c r="D64" t="s">
        <v>22</v>
      </c>
      <c r="E64">
        <v>1</v>
      </c>
      <c r="G64" s="4"/>
      <c r="H64" s="4"/>
      <c r="I64" s="6">
        <v>40</v>
      </c>
      <c r="J64" s="11">
        <v>64</v>
      </c>
    </row>
    <row r="65" spans="1:10" ht="12.75">
      <c r="A65" t="s">
        <v>30</v>
      </c>
      <c r="B65">
        <v>20</v>
      </c>
      <c r="C65">
        <v>17</v>
      </c>
      <c r="D65" t="s">
        <v>24</v>
      </c>
      <c r="E65">
        <v>1</v>
      </c>
      <c r="G65" s="4"/>
      <c r="H65" s="2" t="s">
        <v>46</v>
      </c>
      <c r="I65" s="2">
        <v>20</v>
      </c>
      <c r="J65" s="10">
        <v>6</v>
      </c>
    </row>
    <row r="66" spans="1:10" ht="12.75">
      <c r="A66" t="s">
        <v>30</v>
      </c>
      <c r="B66">
        <v>20</v>
      </c>
      <c r="C66">
        <v>22</v>
      </c>
      <c r="D66" t="s">
        <v>27</v>
      </c>
      <c r="E66">
        <v>0</v>
      </c>
      <c r="G66" s="4"/>
      <c r="H66" s="4"/>
      <c r="I66" s="6">
        <v>40</v>
      </c>
      <c r="J66" s="11">
        <v>9</v>
      </c>
    </row>
    <row r="67" spans="1:10" ht="12.75">
      <c r="A67" t="s">
        <v>30</v>
      </c>
      <c r="B67">
        <v>20</v>
      </c>
      <c r="C67">
        <v>7</v>
      </c>
      <c r="D67" t="s">
        <v>27</v>
      </c>
      <c r="E67">
        <v>0</v>
      </c>
      <c r="G67" s="2" t="s">
        <v>71</v>
      </c>
      <c r="H67" s="3"/>
      <c r="I67" s="3"/>
      <c r="J67" s="10">
        <v>110</v>
      </c>
    </row>
    <row r="68" spans="1:10" ht="12.75">
      <c r="A68" t="s">
        <v>30</v>
      </c>
      <c r="B68">
        <v>20</v>
      </c>
      <c r="C68">
        <v>8</v>
      </c>
      <c r="D68" t="s">
        <v>27</v>
      </c>
      <c r="E68">
        <v>0</v>
      </c>
      <c r="G68" s="2" t="s">
        <v>72</v>
      </c>
      <c r="H68" s="3"/>
      <c r="I68" s="3"/>
      <c r="J68" s="10">
        <v>15</v>
      </c>
    </row>
    <row r="69" spans="1:10" ht="12.75">
      <c r="A69" t="s">
        <v>30</v>
      </c>
      <c r="B69">
        <v>40</v>
      </c>
      <c r="C69">
        <v>15</v>
      </c>
      <c r="D69" t="s">
        <v>22</v>
      </c>
      <c r="E69">
        <v>1</v>
      </c>
      <c r="G69" s="2" t="s">
        <v>28</v>
      </c>
      <c r="H69" s="2" t="s">
        <v>43</v>
      </c>
      <c r="I69" s="2">
        <v>40</v>
      </c>
      <c r="J69" s="10">
        <v>44</v>
      </c>
    </row>
    <row r="70" spans="1:10" ht="12.75">
      <c r="A70" t="s">
        <v>30</v>
      </c>
      <c r="B70">
        <v>40</v>
      </c>
      <c r="C70">
        <v>14</v>
      </c>
      <c r="D70" t="s">
        <v>24</v>
      </c>
      <c r="E70">
        <v>1</v>
      </c>
      <c r="G70" s="4"/>
      <c r="H70" s="2" t="s">
        <v>46</v>
      </c>
      <c r="I70" s="2">
        <v>40</v>
      </c>
      <c r="J70" s="10">
        <v>1</v>
      </c>
    </row>
    <row r="71" spans="1:10" ht="12.75">
      <c r="A71" t="s">
        <v>30</v>
      </c>
      <c r="B71">
        <v>40</v>
      </c>
      <c r="C71">
        <v>8</v>
      </c>
      <c r="D71" t="s">
        <v>22</v>
      </c>
      <c r="E71">
        <v>1</v>
      </c>
      <c r="G71" s="2" t="s">
        <v>73</v>
      </c>
      <c r="H71" s="3"/>
      <c r="I71" s="3"/>
      <c r="J71" s="10">
        <v>44</v>
      </c>
    </row>
    <row r="72" spans="1:10" ht="12.75">
      <c r="A72" t="s">
        <v>30</v>
      </c>
      <c r="B72">
        <v>40</v>
      </c>
      <c r="C72">
        <v>18</v>
      </c>
      <c r="D72" t="s">
        <v>22</v>
      </c>
      <c r="E72">
        <v>1</v>
      </c>
      <c r="G72" s="2" t="s">
        <v>74</v>
      </c>
      <c r="H72" s="3"/>
      <c r="I72" s="3"/>
      <c r="J72" s="10">
        <v>1</v>
      </c>
    </row>
    <row r="73" spans="1:10" ht="12.75">
      <c r="A73" t="s">
        <v>30</v>
      </c>
      <c r="B73">
        <v>20</v>
      </c>
      <c r="C73">
        <v>1</v>
      </c>
      <c r="D73" t="s">
        <v>24</v>
      </c>
      <c r="E73">
        <v>1</v>
      </c>
      <c r="G73" s="2" t="s">
        <v>34</v>
      </c>
      <c r="H73" s="2" t="s">
        <v>43</v>
      </c>
      <c r="I73" s="2">
        <v>20</v>
      </c>
      <c r="J73" s="10">
        <v>19</v>
      </c>
    </row>
    <row r="74" spans="1:10" ht="12.75">
      <c r="A74" t="s">
        <v>30</v>
      </c>
      <c r="B74">
        <v>40</v>
      </c>
      <c r="C74">
        <v>39</v>
      </c>
      <c r="D74" t="s">
        <v>25</v>
      </c>
      <c r="E74">
        <v>1</v>
      </c>
      <c r="G74" s="4"/>
      <c r="H74" s="4"/>
      <c r="I74" s="6">
        <v>40</v>
      </c>
      <c r="J74" s="11">
        <v>51</v>
      </c>
    </row>
    <row r="75" spans="1:10" ht="12.75">
      <c r="A75" t="s">
        <v>2</v>
      </c>
      <c r="B75">
        <v>40</v>
      </c>
      <c r="C75">
        <v>0</v>
      </c>
      <c r="D75" t="s">
        <v>24</v>
      </c>
      <c r="E75">
        <v>1</v>
      </c>
      <c r="G75" s="4"/>
      <c r="H75" s="2" t="s">
        <v>46</v>
      </c>
      <c r="I75" s="2">
        <v>20</v>
      </c>
      <c r="J75" s="10">
        <v>3</v>
      </c>
    </row>
    <row r="76" spans="1:12" ht="12.75">
      <c r="A76" t="s">
        <v>2</v>
      </c>
      <c r="B76">
        <v>20</v>
      </c>
      <c r="C76">
        <v>1</v>
      </c>
      <c r="D76" t="s">
        <v>22</v>
      </c>
      <c r="E76">
        <v>1</v>
      </c>
      <c r="G76" s="4"/>
      <c r="H76" s="4"/>
      <c r="I76" s="6">
        <v>40</v>
      </c>
      <c r="J76" s="11">
        <v>2</v>
      </c>
      <c r="L76" s="13"/>
    </row>
    <row r="77" spans="1:10" ht="12.75">
      <c r="A77" t="s">
        <v>2</v>
      </c>
      <c r="B77">
        <v>40</v>
      </c>
      <c r="C77">
        <v>3</v>
      </c>
      <c r="D77" t="s">
        <v>22</v>
      </c>
      <c r="E77">
        <v>1</v>
      </c>
      <c r="G77" s="2" t="s">
        <v>75</v>
      </c>
      <c r="H77" s="3"/>
      <c r="I77" s="3"/>
      <c r="J77" s="10">
        <v>70</v>
      </c>
    </row>
    <row r="78" spans="1:10" ht="12.75">
      <c r="A78" t="s">
        <v>2</v>
      </c>
      <c r="B78">
        <v>20</v>
      </c>
      <c r="C78">
        <v>5</v>
      </c>
      <c r="D78" t="s">
        <v>22</v>
      </c>
      <c r="E78">
        <v>1</v>
      </c>
      <c r="G78" s="2" t="s">
        <v>76</v>
      </c>
      <c r="H78" s="3"/>
      <c r="I78" s="3"/>
      <c r="J78" s="10">
        <v>5</v>
      </c>
    </row>
    <row r="79" spans="1:10" ht="12.75">
      <c r="A79" t="s">
        <v>2</v>
      </c>
      <c r="B79">
        <v>40</v>
      </c>
      <c r="C79">
        <v>1</v>
      </c>
      <c r="D79" t="s">
        <v>24</v>
      </c>
      <c r="E79">
        <v>1</v>
      </c>
      <c r="G79" s="2" t="s">
        <v>35</v>
      </c>
      <c r="H79" s="2" t="s">
        <v>43</v>
      </c>
      <c r="I79" s="2">
        <v>40</v>
      </c>
      <c r="J79" s="10">
        <v>15</v>
      </c>
    </row>
    <row r="80" spans="1:10" ht="12.75">
      <c r="A80" t="s">
        <v>2</v>
      </c>
      <c r="B80">
        <v>20</v>
      </c>
      <c r="C80">
        <v>27</v>
      </c>
      <c r="D80" t="s">
        <v>22</v>
      </c>
      <c r="E80">
        <v>1</v>
      </c>
      <c r="G80" s="4"/>
      <c r="H80" s="2" t="s">
        <v>46</v>
      </c>
      <c r="I80" s="2">
        <v>40</v>
      </c>
      <c r="J80" s="10">
        <v>2</v>
      </c>
    </row>
    <row r="81" spans="1:10" ht="12.75">
      <c r="A81" t="s">
        <v>2</v>
      </c>
      <c r="B81">
        <v>20</v>
      </c>
      <c r="C81">
        <v>0</v>
      </c>
      <c r="D81" t="s">
        <v>22</v>
      </c>
      <c r="E81">
        <v>1</v>
      </c>
      <c r="G81" s="2" t="s">
        <v>77</v>
      </c>
      <c r="H81" s="3"/>
      <c r="I81" s="3"/>
      <c r="J81" s="10">
        <v>15</v>
      </c>
    </row>
    <row r="82" spans="1:10" ht="12.75">
      <c r="A82" t="s">
        <v>2</v>
      </c>
      <c r="B82">
        <v>40</v>
      </c>
      <c r="C82">
        <v>4</v>
      </c>
      <c r="D82" t="s">
        <v>27</v>
      </c>
      <c r="E82">
        <v>0</v>
      </c>
      <c r="G82" s="2" t="s">
        <v>78</v>
      </c>
      <c r="H82" s="3"/>
      <c r="I82" s="3"/>
      <c r="J82" s="10">
        <v>2</v>
      </c>
    </row>
    <row r="83" spans="1:10" ht="12.75">
      <c r="A83" t="s">
        <v>2</v>
      </c>
      <c r="B83">
        <v>20</v>
      </c>
      <c r="C83">
        <v>13</v>
      </c>
      <c r="D83" t="s">
        <v>24</v>
      </c>
      <c r="E83">
        <v>1</v>
      </c>
      <c r="G83" s="2" t="s">
        <v>13</v>
      </c>
      <c r="H83" s="2" t="s">
        <v>43</v>
      </c>
      <c r="I83" s="2">
        <v>20</v>
      </c>
      <c r="J83" s="10">
        <v>155</v>
      </c>
    </row>
    <row r="84" spans="1:10" ht="12.75">
      <c r="A84" t="s">
        <v>2</v>
      </c>
      <c r="B84">
        <v>40</v>
      </c>
      <c r="C84">
        <v>29</v>
      </c>
      <c r="D84" t="s">
        <v>22</v>
      </c>
      <c r="E84">
        <v>1</v>
      </c>
      <c r="G84" s="4"/>
      <c r="H84" s="4"/>
      <c r="I84" s="6">
        <v>40</v>
      </c>
      <c r="J84" s="11">
        <v>99</v>
      </c>
    </row>
    <row r="85" spans="1:10" ht="12.75">
      <c r="A85" t="s">
        <v>2</v>
      </c>
      <c r="B85">
        <v>40</v>
      </c>
      <c r="C85">
        <v>0</v>
      </c>
      <c r="D85" t="s">
        <v>29</v>
      </c>
      <c r="E85">
        <v>1</v>
      </c>
      <c r="G85" s="4"/>
      <c r="H85" s="2" t="s">
        <v>46</v>
      </c>
      <c r="I85" s="2">
        <v>20</v>
      </c>
      <c r="J85" s="10">
        <v>5</v>
      </c>
    </row>
    <row r="86" spans="1:10" ht="12.75">
      <c r="A86" t="s">
        <v>2</v>
      </c>
      <c r="B86">
        <v>40</v>
      </c>
      <c r="C86">
        <v>8</v>
      </c>
      <c r="D86" t="s">
        <v>24</v>
      </c>
      <c r="E86">
        <v>1</v>
      </c>
      <c r="G86" s="4"/>
      <c r="H86" s="4"/>
      <c r="I86" s="6">
        <v>40</v>
      </c>
      <c r="J86" s="11">
        <v>9</v>
      </c>
    </row>
    <row r="87" spans="1:10" ht="12.75">
      <c r="A87" t="s">
        <v>2</v>
      </c>
      <c r="B87">
        <v>40</v>
      </c>
      <c r="C87">
        <v>0</v>
      </c>
      <c r="D87" t="s">
        <v>22</v>
      </c>
      <c r="E87">
        <v>1</v>
      </c>
      <c r="G87" s="2" t="s">
        <v>79</v>
      </c>
      <c r="H87" s="3"/>
      <c r="I87" s="3"/>
      <c r="J87" s="10">
        <v>254</v>
      </c>
    </row>
    <row r="88" spans="1:10" ht="12.75">
      <c r="A88" t="s">
        <v>2</v>
      </c>
      <c r="B88">
        <v>20</v>
      </c>
      <c r="C88">
        <v>0</v>
      </c>
      <c r="D88" t="s">
        <v>24</v>
      </c>
      <c r="E88">
        <v>1</v>
      </c>
      <c r="G88" s="2" t="s">
        <v>80</v>
      </c>
      <c r="H88" s="3"/>
      <c r="I88" s="3"/>
      <c r="J88" s="10">
        <v>14</v>
      </c>
    </row>
    <row r="89" spans="1:10" ht="12.75">
      <c r="A89" t="s">
        <v>2</v>
      </c>
      <c r="B89">
        <v>40</v>
      </c>
      <c r="C89">
        <v>19</v>
      </c>
      <c r="D89" t="s">
        <v>22</v>
      </c>
      <c r="E89">
        <v>1</v>
      </c>
      <c r="G89" s="2" t="s">
        <v>15</v>
      </c>
      <c r="H89" s="2" t="s">
        <v>43</v>
      </c>
      <c r="I89" s="2">
        <v>20</v>
      </c>
      <c r="J89" s="10">
        <v>100</v>
      </c>
    </row>
    <row r="90" spans="1:10" ht="12.75">
      <c r="A90" t="s">
        <v>2</v>
      </c>
      <c r="B90">
        <v>40</v>
      </c>
      <c r="C90">
        <v>0</v>
      </c>
      <c r="D90" t="s">
        <v>24</v>
      </c>
      <c r="E90">
        <v>1</v>
      </c>
      <c r="G90" s="4"/>
      <c r="H90" s="4"/>
      <c r="I90" s="6">
        <v>40</v>
      </c>
      <c r="J90" s="11">
        <v>104</v>
      </c>
    </row>
    <row r="91" spans="1:10" ht="12.75">
      <c r="A91" t="s">
        <v>8</v>
      </c>
      <c r="B91">
        <v>40</v>
      </c>
      <c r="C91">
        <v>1</v>
      </c>
      <c r="D91" t="s">
        <v>22</v>
      </c>
      <c r="E91">
        <v>1</v>
      </c>
      <c r="G91" s="4"/>
      <c r="H91" s="2" t="s">
        <v>46</v>
      </c>
      <c r="I91" s="2">
        <v>20</v>
      </c>
      <c r="J91" s="10">
        <v>5</v>
      </c>
    </row>
    <row r="92" spans="1:10" ht="12.75">
      <c r="A92" t="s">
        <v>8</v>
      </c>
      <c r="B92">
        <v>40</v>
      </c>
      <c r="C92">
        <v>15</v>
      </c>
      <c r="D92" t="s">
        <v>29</v>
      </c>
      <c r="E92">
        <v>1</v>
      </c>
      <c r="G92" s="4"/>
      <c r="H92" s="4"/>
      <c r="I92" s="6">
        <v>40</v>
      </c>
      <c r="J92" s="11">
        <v>6</v>
      </c>
    </row>
    <row r="93" spans="1:10" ht="12.75">
      <c r="A93" t="s">
        <v>8</v>
      </c>
      <c r="B93">
        <v>20</v>
      </c>
      <c r="C93">
        <v>3</v>
      </c>
      <c r="D93" t="s">
        <v>27</v>
      </c>
      <c r="E93">
        <v>0</v>
      </c>
      <c r="G93" s="2" t="s">
        <v>81</v>
      </c>
      <c r="H93" s="3"/>
      <c r="I93" s="3"/>
      <c r="J93" s="10">
        <v>204</v>
      </c>
    </row>
    <row r="94" spans="1:10" ht="12.75">
      <c r="A94" t="s">
        <v>8</v>
      </c>
      <c r="B94">
        <v>40</v>
      </c>
      <c r="C94">
        <v>0</v>
      </c>
      <c r="D94" t="s">
        <v>22</v>
      </c>
      <c r="E94">
        <v>1</v>
      </c>
      <c r="G94" s="2" t="s">
        <v>82</v>
      </c>
      <c r="H94" s="3"/>
      <c r="I94" s="3"/>
      <c r="J94" s="10">
        <v>11</v>
      </c>
    </row>
    <row r="95" spans="1:10" ht="12.75">
      <c r="A95" t="s">
        <v>8</v>
      </c>
      <c r="B95">
        <v>40</v>
      </c>
      <c r="C95">
        <v>9</v>
      </c>
      <c r="D95" t="s">
        <v>27</v>
      </c>
      <c r="E95">
        <v>0</v>
      </c>
      <c r="G95" s="2" t="s">
        <v>14</v>
      </c>
      <c r="H95" s="2" t="s">
        <v>43</v>
      </c>
      <c r="I95" s="2">
        <v>20</v>
      </c>
      <c r="J95" s="10">
        <v>138</v>
      </c>
    </row>
    <row r="96" spans="1:10" ht="12.75">
      <c r="A96" t="s">
        <v>8</v>
      </c>
      <c r="B96">
        <v>20</v>
      </c>
      <c r="C96">
        <v>0</v>
      </c>
      <c r="D96" t="s">
        <v>24</v>
      </c>
      <c r="E96">
        <v>1</v>
      </c>
      <c r="G96" s="4"/>
      <c r="H96" s="4"/>
      <c r="I96" s="6">
        <v>40</v>
      </c>
      <c r="J96" s="11">
        <v>137</v>
      </c>
    </row>
    <row r="97" spans="1:10" ht="12.75">
      <c r="A97" t="s">
        <v>8</v>
      </c>
      <c r="B97">
        <v>40</v>
      </c>
      <c r="C97">
        <v>4</v>
      </c>
      <c r="D97" t="s">
        <v>22</v>
      </c>
      <c r="E97">
        <v>1</v>
      </c>
      <c r="G97" s="4"/>
      <c r="H97" s="2" t="s">
        <v>46</v>
      </c>
      <c r="I97" s="2">
        <v>20</v>
      </c>
      <c r="J97" s="10">
        <v>3</v>
      </c>
    </row>
    <row r="98" spans="1:10" ht="12.75">
      <c r="A98" t="s">
        <v>8</v>
      </c>
      <c r="B98">
        <v>40</v>
      </c>
      <c r="C98">
        <v>6</v>
      </c>
      <c r="D98" t="s">
        <v>27</v>
      </c>
      <c r="E98">
        <v>0</v>
      </c>
      <c r="G98" s="4"/>
      <c r="H98" s="4"/>
      <c r="I98" s="6">
        <v>40</v>
      </c>
      <c r="J98" s="11">
        <v>7</v>
      </c>
    </row>
    <row r="99" spans="1:10" ht="12.75">
      <c r="A99" t="s">
        <v>9</v>
      </c>
      <c r="B99">
        <v>40</v>
      </c>
      <c r="C99">
        <v>1</v>
      </c>
      <c r="D99" t="s">
        <v>24</v>
      </c>
      <c r="E99">
        <v>1</v>
      </c>
      <c r="G99" s="2" t="s">
        <v>83</v>
      </c>
      <c r="H99" s="3"/>
      <c r="I99" s="3"/>
      <c r="J99" s="10">
        <v>275</v>
      </c>
    </row>
    <row r="100" spans="1:10" ht="12.75">
      <c r="A100" t="s">
        <v>9</v>
      </c>
      <c r="B100">
        <v>40</v>
      </c>
      <c r="C100">
        <v>0</v>
      </c>
      <c r="D100" t="s">
        <v>27</v>
      </c>
      <c r="E100">
        <v>0</v>
      </c>
      <c r="G100" s="2" t="s">
        <v>84</v>
      </c>
      <c r="H100" s="3"/>
      <c r="I100" s="3"/>
      <c r="J100" s="10">
        <v>10</v>
      </c>
    </row>
    <row r="101" spans="1:10" ht="12.75">
      <c r="A101" t="s">
        <v>9</v>
      </c>
      <c r="B101">
        <v>20</v>
      </c>
      <c r="C101">
        <v>1</v>
      </c>
      <c r="D101" t="s">
        <v>27</v>
      </c>
      <c r="E101">
        <v>0</v>
      </c>
      <c r="G101" s="2" t="s">
        <v>40</v>
      </c>
      <c r="H101" s="2" t="s">
        <v>43</v>
      </c>
      <c r="I101" s="2">
        <v>40</v>
      </c>
      <c r="J101" s="10">
        <v>3</v>
      </c>
    </row>
    <row r="102" spans="1:10" ht="12.75">
      <c r="A102" t="s">
        <v>9</v>
      </c>
      <c r="B102">
        <v>40</v>
      </c>
      <c r="C102">
        <v>6</v>
      </c>
      <c r="D102" t="s">
        <v>27</v>
      </c>
      <c r="E102">
        <v>0</v>
      </c>
      <c r="G102" s="4"/>
      <c r="H102" s="2" t="s">
        <v>46</v>
      </c>
      <c r="I102" s="2">
        <v>40</v>
      </c>
      <c r="J102" s="10">
        <v>1</v>
      </c>
    </row>
    <row r="103" spans="1:10" ht="12.75">
      <c r="A103" t="s">
        <v>9</v>
      </c>
      <c r="B103">
        <v>40</v>
      </c>
      <c r="C103">
        <v>3</v>
      </c>
      <c r="D103" t="s">
        <v>22</v>
      </c>
      <c r="E103">
        <v>1</v>
      </c>
      <c r="G103" s="2" t="s">
        <v>85</v>
      </c>
      <c r="H103" s="3"/>
      <c r="I103" s="3"/>
      <c r="J103" s="10">
        <v>3</v>
      </c>
    </row>
    <row r="104" spans="1:10" ht="12.75">
      <c r="A104" t="s">
        <v>9</v>
      </c>
      <c r="B104">
        <v>20</v>
      </c>
      <c r="C104">
        <v>0</v>
      </c>
      <c r="D104" t="s">
        <v>27</v>
      </c>
      <c r="E104">
        <v>0</v>
      </c>
      <c r="G104" s="2" t="s">
        <v>86</v>
      </c>
      <c r="H104" s="3"/>
      <c r="I104" s="3"/>
      <c r="J104" s="10">
        <v>1</v>
      </c>
    </row>
    <row r="105" spans="1:10" ht="12.75">
      <c r="A105" t="s">
        <v>9</v>
      </c>
      <c r="B105">
        <v>40</v>
      </c>
      <c r="C105">
        <v>3</v>
      </c>
      <c r="D105" t="s">
        <v>22</v>
      </c>
      <c r="E105">
        <v>1</v>
      </c>
      <c r="G105" s="2" t="s">
        <v>36</v>
      </c>
      <c r="H105" s="2" t="s">
        <v>43</v>
      </c>
      <c r="I105" s="2">
        <v>20</v>
      </c>
      <c r="J105" s="10">
        <v>76</v>
      </c>
    </row>
    <row r="106" spans="1:10" ht="12.75">
      <c r="A106" t="s">
        <v>9</v>
      </c>
      <c r="B106">
        <v>40</v>
      </c>
      <c r="C106">
        <v>0</v>
      </c>
      <c r="D106" t="s">
        <v>24</v>
      </c>
      <c r="E106">
        <v>1</v>
      </c>
      <c r="G106" s="4"/>
      <c r="H106" s="2" t="s">
        <v>46</v>
      </c>
      <c r="I106" s="2">
        <v>20</v>
      </c>
      <c r="J106" s="10">
        <v>2</v>
      </c>
    </row>
    <row r="107" spans="1:10" ht="12.75">
      <c r="A107" t="s">
        <v>6</v>
      </c>
      <c r="B107">
        <v>20</v>
      </c>
      <c r="C107">
        <v>12</v>
      </c>
      <c r="D107" t="s">
        <v>24</v>
      </c>
      <c r="E107">
        <v>1</v>
      </c>
      <c r="G107" s="2" t="s">
        <v>87</v>
      </c>
      <c r="H107" s="3"/>
      <c r="I107" s="3"/>
      <c r="J107" s="10">
        <v>76</v>
      </c>
    </row>
    <row r="108" spans="1:10" ht="12.75">
      <c r="A108" t="s">
        <v>6</v>
      </c>
      <c r="B108">
        <v>20</v>
      </c>
      <c r="C108">
        <v>2</v>
      </c>
      <c r="D108" t="s">
        <v>26</v>
      </c>
      <c r="E108">
        <v>1</v>
      </c>
      <c r="G108" s="2" t="s">
        <v>88</v>
      </c>
      <c r="H108" s="3"/>
      <c r="I108" s="3"/>
      <c r="J108" s="10">
        <v>2</v>
      </c>
    </row>
    <row r="109" spans="1:10" ht="12.75">
      <c r="A109" t="s">
        <v>6</v>
      </c>
      <c r="B109">
        <v>20</v>
      </c>
      <c r="C109">
        <v>18</v>
      </c>
      <c r="D109" t="s">
        <v>22</v>
      </c>
      <c r="E109">
        <v>1</v>
      </c>
      <c r="G109" s="2" t="s">
        <v>7</v>
      </c>
      <c r="H109" s="2" t="s">
        <v>43</v>
      </c>
      <c r="I109" s="2">
        <v>20</v>
      </c>
      <c r="J109" s="10">
        <v>16</v>
      </c>
    </row>
    <row r="110" spans="1:10" ht="12.75">
      <c r="A110" t="s">
        <v>6</v>
      </c>
      <c r="B110">
        <v>40</v>
      </c>
      <c r="C110">
        <v>20</v>
      </c>
      <c r="D110" t="s">
        <v>24</v>
      </c>
      <c r="E110">
        <v>1</v>
      </c>
      <c r="G110" s="4"/>
      <c r="H110" s="4"/>
      <c r="I110" s="6">
        <v>40</v>
      </c>
      <c r="J110" s="11">
        <v>63</v>
      </c>
    </row>
    <row r="111" spans="1:10" ht="12.75">
      <c r="A111" t="s">
        <v>6</v>
      </c>
      <c r="B111">
        <v>20</v>
      </c>
      <c r="C111">
        <v>9</v>
      </c>
      <c r="D111" t="s">
        <v>24</v>
      </c>
      <c r="E111">
        <v>1</v>
      </c>
      <c r="G111" s="4"/>
      <c r="H111" s="2" t="s">
        <v>46</v>
      </c>
      <c r="I111" s="2">
        <v>20</v>
      </c>
      <c r="J111" s="10">
        <v>2</v>
      </c>
    </row>
    <row r="112" spans="1:10" ht="12.75">
      <c r="A112" t="s">
        <v>6</v>
      </c>
      <c r="B112">
        <v>20</v>
      </c>
      <c r="C112">
        <v>11</v>
      </c>
      <c r="D112" t="s">
        <v>24</v>
      </c>
      <c r="E112">
        <v>1</v>
      </c>
      <c r="G112" s="4"/>
      <c r="H112" s="4"/>
      <c r="I112" s="6">
        <v>40</v>
      </c>
      <c r="J112" s="11">
        <v>10</v>
      </c>
    </row>
    <row r="113" spans="1:10" ht="12.75">
      <c r="A113" t="s">
        <v>12</v>
      </c>
      <c r="B113">
        <v>20</v>
      </c>
      <c r="C113">
        <v>4</v>
      </c>
      <c r="D113" t="s">
        <v>22</v>
      </c>
      <c r="E113">
        <v>1</v>
      </c>
      <c r="G113" s="2" t="s">
        <v>89</v>
      </c>
      <c r="H113" s="3"/>
      <c r="I113" s="3"/>
      <c r="J113" s="10">
        <v>79</v>
      </c>
    </row>
    <row r="114" spans="1:10" ht="12.75">
      <c r="A114" t="s">
        <v>12</v>
      </c>
      <c r="B114">
        <v>40</v>
      </c>
      <c r="C114">
        <v>7</v>
      </c>
      <c r="D114" t="s">
        <v>24</v>
      </c>
      <c r="E114">
        <v>1</v>
      </c>
      <c r="G114" s="2" t="s">
        <v>90</v>
      </c>
      <c r="H114" s="3"/>
      <c r="I114" s="3"/>
      <c r="J114" s="10">
        <v>12</v>
      </c>
    </row>
    <row r="115" spans="1:10" ht="12.75">
      <c r="A115" t="s">
        <v>12</v>
      </c>
      <c r="B115">
        <v>20</v>
      </c>
      <c r="C115">
        <v>0</v>
      </c>
      <c r="D115" t="s">
        <v>22</v>
      </c>
      <c r="E115">
        <v>1</v>
      </c>
      <c r="G115" s="2" t="s">
        <v>33</v>
      </c>
      <c r="H115" s="2" t="s">
        <v>43</v>
      </c>
      <c r="I115" s="2">
        <v>40</v>
      </c>
      <c r="J115" s="10">
        <v>4</v>
      </c>
    </row>
    <row r="116" spans="1:10" ht="12.75">
      <c r="A116" t="s">
        <v>12</v>
      </c>
      <c r="B116">
        <v>40</v>
      </c>
      <c r="C116">
        <v>0</v>
      </c>
      <c r="D116" t="s">
        <v>22</v>
      </c>
      <c r="E116">
        <v>1</v>
      </c>
      <c r="G116" s="4"/>
      <c r="H116" s="2" t="s">
        <v>46</v>
      </c>
      <c r="I116" s="2">
        <v>40</v>
      </c>
      <c r="J116" s="10">
        <v>2</v>
      </c>
    </row>
    <row r="117" spans="1:10" ht="12.75">
      <c r="A117" t="s">
        <v>12</v>
      </c>
      <c r="B117">
        <v>40</v>
      </c>
      <c r="C117">
        <v>0</v>
      </c>
      <c r="D117" t="s">
        <v>24</v>
      </c>
      <c r="E117">
        <v>1</v>
      </c>
      <c r="G117" s="2" t="s">
        <v>91</v>
      </c>
      <c r="H117" s="3"/>
      <c r="I117" s="3"/>
      <c r="J117" s="10">
        <v>4</v>
      </c>
    </row>
    <row r="118" spans="1:10" ht="12.75">
      <c r="A118" t="s">
        <v>119</v>
      </c>
      <c r="B118">
        <v>40</v>
      </c>
      <c r="C118">
        <v>5</v>
      </c>
      <c r="D118" t="s">
        <v>24</v>
      </c>
      <c r="E118">
        <v>1</v>
      </c>
      <c r="G118" s="2" t="s">
        <v>92</v>
      </c>
      <c r="H118" s="3"/>
      <c r="I118" s="3"/>
      <c r="J118" s="10">
        <v>2</v>
      </c>
    </row>
    <row r="119" spans="1:10" ht="12.75">
      <c r="A119" t="s">
        <v>119</v>
      </c>
      <c r="B119">
        <v>40</v>
      </c>
      <c r="C119">
        <v>35</v>
      </c>
      <c r="D119" t="s">
        <v>24</v>
      </c>
      <c r="E119">
        <v>1</v>
      </c>
      <c r="G119" s="2" t="s">
        <v>6</v>
      </c>
      <c r="H119" s="2" t="s">
        <v>43</v>
      </c>
      <c r="I119" s="2">
        <v>20</v>
      </c>
      <c r="J119" s="10">
        <v>52</v>
      </c>
    </row>
    <row r="120" spans="1:10" ht="12.75">
      <c r="A120" t="s">
        <v>119</v>
      </c>
      <c r="B120">
        <v>40</v>
      </c>
      <c r="C120">
        <v>22</v>
      </c>
      <c r="D120" t="s">
        <v>24</v>
      </c>
      <c r="E120">
        <v>1</v>
      </c>
      <c r="G120" s="4"/>
      <c r="H120" s="4"/>
      <c r="I120" s="6">
        <v>40</v>
      </c>
      <c r="J120" s="11">
        <v>20</v>
      </c>
    </row>
    <row r="121" spans="1:10" ht="12.75">
      <c r="A121" t="s">
        <v>32</v>
      </c>
      <c r="B121">
        <v>20</v>
      </c>
      <c r="C121">
        <v>1</v>
      </c>
      <c r="D121" t="s">
        <v>24</v>
      </c>
      <c r="E121">
        <v>1</v>
      </c>
      <c r="G121" s="4"/>
      <c r="H121" s="2" t="s">
        <v>46</v>
      </c>
      <c r="I121" s="2">
        <v>20</v>
      </c>
      <c r="J121" s="10">
        <v>5</v>
      </c>
    </row>
    <row r="122" spans="1:10" ht="12.75">
      <c r="A122" t="s">
        <v>32</v>
      </c>
      <c r="B122">
        <v>20</v>
      </c>
      <c r="C122">
        <v>0</v>
      </c>
      <c r="D122" t="s">
        <v>24</v>
      </c>
      <c r="E122">
        <v>1</v>
      </c>
      <c r="G122" s="4"/>
      <c r="H122" s="4"/>
      <c r="I122" s="6">
        <v>40</v>
      </c>
      <c r="J122" s="11">
        <v>1</v>
      </c>
    </row>
    <row r="123" spans="1:10" ht="12.75">
      <c r="A123" t="s">
        <v>32</v>
      </c>
      <c r="B123">
        <v>20</v>
      </c>
      <c r="C123">
        <v>10</v>
      </c>
      <c r="D123" t="s">
        <v>24</v>
      </c>
      <c r="E123">
        <v>1</v>
      </c>
      <c r="G123" s="2" t="s">
        <v>93</v>
      </c>
      <c r="H123" s="3"/>
      <c r="I123" s="3"/>
      <c r="J123" s="10">
        <v>72</v>
      </c>
    </row>
    <row r="124" spans="1:10" ht="12.75">
      <c r="A124" t="s">
        <v>32</v>
      </c>
      <c r="B124">
        <v>40</v>
      </c>
      <c r="C124">
        <v>4</v>
      </c>
      <c r="D124" t="s">
        <v>24</v>
      </c>
      <c r="E124">
        <v>1</v>
      </c>
      <c r="G124" s="2" t="s">
        <v>94</v>
      </c>
      <c r="H124" s="3"/>
      <c r="I124" s="3"/>
      <c r="J124" s="10">
        <v>6</v>
      </c>
    </row>
    <row r="125" spans="1:10" ht="12.75">
      <c r="A125" t="s">
        <v>32</v>
      </c>
      <c r="B125">
        <v>20</v>
      </c>
      <c r="C125">
        <v>5</v>
      </c>
      <c r="D125" t="s">
        <v>24</v>
      </c>
      <c r="E125">
        <v>1</v>
      </c>
      <c r="G125" s="2" t="s">
        <v>12</v>
      </c>
      <c r="H125" s="2" t="s">
        <v>43</v>
      </c>
      <c r="I125" s="2">
        <v>20</v>
      </c>
      <c r="J125" s="10">
        <v>4</v>
      </c>
    </row>
    <row r="126" spans="1:10" ht="12.75">
      <c r="A126" t="s">
        <v>32</v>
      </c>
      <c r="B126">
        <v>40</v>
      </c>
      <c r="C126">
        <v>31</v>
      </c>
      <c r="D126" t="s">
        <v>24</v>
      </c>
      <c r="E126">
        <v>1</v>
      </c>
      <c r="G126" s="4"/>
      <c r="H126" s="4"/>
      <c r="I126" s="6">
        <v>40</v>
      </c>
      <c r="J126" s="11">
        <v>7</v>
      </c>
    </row>
    <row r="127" spans="1:10" ht="12.75">
      <c r="A127" t="s">
        <v>32</v>
      </c>
      <c r="B127">
        <v>40</v>
      </c>
      <c r="C127">
        <v>0</v>
      </c>
      <c r="D127" t="s">
        <v>22</v>
      </c>
      <c r="E127">
        <v>1</v>
      </c>
      <c r="G127" s="4"/>
      <c r="H127" s="2" t="s">
        <v>46</v>
      </c>
      <c r="I127" s="2">
        <v>20</v>
      </c>
      <c r="J127" s="10">
        <v>2</v>
      </c>
    </row>
    <row r="128" spans="1:10" ht="12.75">
      <c r="A128" t="s">
        <v>33</v>
      </c>
      <c r="B128">
        <v>40</v>
      </c>
      <c r="C128">
        <v>0</v>
      </c>
      <c r="D128" t="s">
        <v>29</v>
      </c>
      <c r="E128">
        <v>1</v>
      </c>
      <c r="G128" s="4"/>
      <c r="H128" s="4"/>
      <c r="I128" s="6">
        <v>40</v>
      </c>
      <c r="J128" s="11">
        <v>3</v>
      </c>
    </row>
    <row r="129" spans="1:10" ht="12.75">
      <c r="A129" t="s">
        <v>33</v>
      </c>
      <c r="B129">
        <v>40</v>
      </c>
      <c r="C129">
        <v>0</v>
      </c>
      <c r="D129" t="s">
        <v>25</v>
      </c>
      <c r="E129">
        <v>1</v>
      </c>
      <c r="G129" s="2" t="s">
        <v>95</v>
      </c>
      <c r="H129" s="3"/>
      <c r="I129" s="3"/>
      <c r="J129" s="10">
        <v>11</v>
      </c>
    </row>
    <row r="130" spans="1:10" ht="12.75">
      <c r="A130" t="s">
        <v>33</v>
      </c>
      <c r="B130">
        <v>40</v>
      </c>
      <c r="C130">
        <v>3</v>
      </c>
      <c r="D130" t="s">
        <v>27</v>
      </c>
      <c r="E130">
        <v>0</v>
      </c>
      <c r="G130" s="2" t="s">
        <v>96</v>
      </c>
      <c r="H130" s="3"/>
      <c r="I130" s="3"/>
      <c r="J130" s="10">
        <v>5</v>
      </c>
    </row>
    <row r="131" spans="1:10" ht="12.75">
      <c r="A131" t="s">
        <v>33</v>
      </c>
      <c r="B131">
        <v>40</v>
      </c>
      <c r="C131">
        <v>1</v>
      </c>
      <c r="D131" t="s">
        <v>27</v>
      </c>
      <c r="E131">
        <v>0</v>
      </c>
      <c r="G131" s="2" t="s">
        <v>8</v>
      </c>
      <c r="H131" s="2" t="s">
        <v>43</v>
      </c>
      <c r="I131" s="2">
        <v>20</v>
      </c>
      <c r="J131" s="10">
        <v>3</v>
      </c>
    </row>
    <row r="132" spans="1:10" ht="12.75">
      <c r="A132" t="s">
        <v>16</v>
      </c>
      <c r="B132">
        <v>20</v>
      </c>
      <c r="C132">
        <v>0</v>
      </c>
      <c r="D132" t="s">
        <v>26</v>
      </c>
      <c r="E132">
        <v>1</v>
      </c>
      <c r="G132" s="4"/>
      <c r="H132" s="4"/>
      <c r="I132" s="6">
        <v>40</v>
      </c>
      <c r="J132" s="11">
        <v>35</v>
      </c>
    </row>
    <row r="133" spans="1:10" ht="12.75">
      <c r="A133" t="s">
        <v>16</v>
      </c>
      <c r="B133">
        <v>40</v>
      </c>
      <c r="C133">
        <v>4</v>
      </c>
      <c r="D133" t="s">
        <v>24</v>
      </c>
      <c r="E133">
        <v>1</v>
      </c>
      <c r="G133" s="4"/>
      <c r="H133" s="2" t="s">
        <v>46</v>
      </c>
      <c r="I133" s="2">
        <v>20</v>
      </c>
      <c r="J133" s="10">
        <v>1</v>
      </c>
    </row>
    <row r="134" spans="1:10" ht="12.75">
      <c r="A134" t="s">
        <v>16</v>
      </c>
      <c r="B134">
        <v>20</v>
      </c>
      <c r="C134">
        <v>10</v>
      </c>
      <c r="D134" t="s">
        <v>27</v>
      </c>
      <c r="E134">
        <v>0</v>
      </c>
      <c r="G134" s="4"/>
      <c r="H134" s="4"/>
      <c r="I134" s="6">
        <v>40</v>
      </c>
      <c r="J134" s="11">
        <v>4</v>
      </c>
    </row>
    <row r="135" spans="1:10" ht="12.75">
      <c r="A135" t="s">
        <v>16</v>
      </c>
      <c r="B135">
        <v>40</v>
      </c>
      <c r="C135">
        <v>2</v>
      </c>
      <c r="D135" t="s">
        <v>29</v>
      </c>
      <c r="E135">
        <v>1</v>
      </c>
      <c r="G135" s="2" t="s">
        <v>97</v>
      </c>
      <c r="H135" s="3"/>
      <c r="I135" s="3"/>
      <c r="J135" s="10">
        <v>38</v>
      </c>
    </row>
    <row r="136" spans="1:10" ht="12.75">
      <c r="A136" t="s">
        <v>16</v>
      </c>
      <c r="B136">
        <v>20</v>
      </c>
      <c r="C136">
        <v>15</v>
      </c>
      <c r="D136" t="s">
        <v>26</v>
      </c>
      <c r="E136">
        <v>1</v>
      </c>
      <c r="G136" s="2" t="s">
        <v>98</v>
      </c>
      <c r="H136" s="3"/>
      <c r="I136" s="3"/>
      <c r="J136" s="10">
        <v>5</v>
      </c>
    </row>
    <row r="137" spans="1:10" ht="12.75">
      <c r="A137" t="s">
        <v>16</v>
      </c>
      <c r="B137">
        <v>40</v>
      </c>
      <c r="C137">
        <v>22</v>
      </c>
      <c r="D137" t="s">
        <v>22</v>
      </c>
      <c r="E137">
        <v>1</v>
      </c>
      <c r="G137" s="2" t="s">
        <v>23</v>
      </c>
      <c r="H137" s="2" t="s">
        <v>43</v>
      </c>
      <c r="I137" s="2">
        <v>20</v>
      </c>
      <c r="J137" s="10">
        <v>0</v>
      </c>
    </row>
    <row r="138" spans="1:10" ht="12.75">
      <c r="A138" t="s">
        <v>16</v>
      </c>
      <c r="B138">
        <v>40</v>
      </c>
      <c r="C138">
        <v>5</v>
      </c>
      <c r="D138" t="s">
        <v>24</v>
      </c>
      <c r="E138">
        <v>1</v>
      </c>
      <c r="G138" s="4"/>
      <c r="H138" s="4"/>
      <c r="I138" s="6">
        <v>40</v>
      </c>
      <c r="J138" s="11">
        <v>43</v>
      </c>
    </row>
    <row r="139" spans="1:10" ht="12.75">
      <c r="A139" t="s">
        <v>34</v>
      </c>
      <c r="B139">
        <v>20</v>
      </c>
      <c r="C139">
        <v>6</v>
      </c>
      <c r="D139" t="s">
        <v>27</v>
      </c>
      <c r="E139">
        <v>0</v>
      </c>
      <c r="G139" s="4"/>
      <c r="H139" s="2" t="s">
        <v>46</v>
      </c>
      <c r="I139" s="2">
        <v>20</v>
      </c>
      <c r="J139" s="10">
        <v>1</v>
      </c>
    </row>
    <row r="140" spans="1:10" ht="12.75">
      <c r="A140" t="s">
        <v>34</v>
      </c>
      <c r="B140">
        <v>40</v>
      </c>
      <c r="C140">
        <v>27</v>
      </c>
      <c r="D140" t="s">
        <v>27</v>
      </c>
      <c r="E140">
        <v>0</v>
      </c>
      <c r="G140" s="4"/>
      <c r="H140" s="4"/>
      <c r="I140" s="6">
        <v>40</v>
      </c>
      <c r="J140" s="11">
        <v>2</v>
      </c>
    </row>
    <row r="141" spans="1:10" ht="12.75">
      <c r="A141" t="s">
        <v>34</v>
      </c>
      <c r="B141">
        <v>20</v>
      </c>
      <c r="C141">
        <v>1</v>
      </c>
      <c r="D141" t="s">
        <v>22</v>
      </c>
      <c r="E141">
        <v>1</v>
      </c>
      <c r="G141" s="2" t="s">
        <v>99</v>
      </c>
      <c r="H141" s="3"/>
      <c r="I141" s="3"/>
      <c r="J141" s="10">
        <v>43</v>
      </c>
    </row>
    <row r="142" spans="1:10" ht="12.75">
      <c r="A142" t="s">
        <v>34</v>
      </c>
      <c r="B142">
        <v>20</v>
      </c>
      <c r="C142">
        <v>8</v>
      </c>
      <c r="D142" t="s">
        <v>24</v>
      </c>
      <c r="E142">
        <v>1</v>
      </c>
      <c r="G142" s="2" t="s">
        <v>100</v>
      </c>
      <c r="H142" s="3"/>
      <c r="I142" s="3"/>
      <c r="J142" s="10">
        <v>3</v>
      </c>
    </row>
    <row r="143" spans="1:10" ht="12.75">
      <c r="A143" t="s">
        <v>34</v>
      </c>
      <c r="B143">
        <v>40</v>
      </c>
      <c r="C143">
        <v>11</v>
      </c>
      <c r="D143" t="s">
        <v>24</v>
      </c>
      <c r="E143">
        <v>1</v>
      </c>
      <c r="G143" s="2" t="s">
        <v>4</v>
      </c>
      <c r="H143" s="2" t="s">
        <v>43</v>
      </c>
      <c r="I143" s="2">
        <v>40</v>
      </c>
      <c r="J143" s="10">
        <v>46</v>
      </c>
    </row>
    <row r="144" spans="1:10" ht="12.75">
      <c r="A144" t="s">
        <v>34</v>
      </c>
      <c r="B144">
        <v>40</v>
      </c>
      <c r="C144">
        <v>1</v>
      </c>
      <c r="D144" t="s">
        <v>27</v>
      </c>
      <c r="E144">
        <v>0</v>
      </c>
      <c r="G144" s="4"/>
      <c r="H144" s="2" t="s">
        <v>46</v>
      </c>
      <c r="I144" s="2">
        <v>40</v>
      </c>
      <c r="J144" s="10">
        <v>5</v>
      </c>
    </row>
    <row r="145" spans="1:10" ht="12.75">
      <c r="A145" t="s">
        <v>34</v>
      </c>
      <c r="B145">
        <v>40</v>
      </c>
      <c r="C145">
        <v>12</v>
      </c>
      <c r="D145" t="s">
        <v>24</v>
      </c>
      <c r="E145">
        <v>1</v>
      </c>
      <c r="G145" s="2" t="s">
        <v>101</v>
      </c>
      <c r="H145" s="3"/>
      <c r="I145" s="3"/>
      <c r="J145" s="10">
        <v>46</v>
      </c>
    </row>
    <row r="146" spans="1:10" ht="12.75">
      <c r="A146" t="s">
        <v>34</v>
      </c>
      <c r="B146">
        <v>20</v>
      </c>
      <c r="C146">
        <v>4</v>
      </c>
      <c r="D146" t="s">
        <v>24</v>
      </c>
      <c r="E146">
        <v>1</v>
      </c>
      <c r="G146" s="2" t="s">
        <v>102</v>
      </c>
      <c r="H146" s="3"/>
      <c r="I146" s="3"/>
      <c r="J146" s="10">
        <v>5</v>
      </c>
    </row>
    <row r="147" spans="1:10" ht="12.75">
      <c r="A147" t="s">
        <v>4</v>
      </c>
      <c r="B147">
        <v>40</v>
      </c>
      <c r="C147">
        <v>0</v>
      </c>
      <c r="D147" t="s">
        <v>25</v>
      </c>
      <c r="E147">
        <v>1</v>
      </c>
      <c r="G147" s="2" t="s">
        <v>39</v>
      </c>
      <c r="H147" s="2" t="s">
        <v>43</v>
      </c>
      <c r="I147" s="2">
        <v>40</v>
      </c>
      <c r="J147" s="10">
        <v>0</v>
      </c>
    </row>
    <row r="148" spans="1:10" ht="12.75">
      <c r="A148" t="s">
        <v>4</v>
      </c>
      <c r="B148">
        <v>40</v>
      </c>
      <c r="C148">
        <v>2</v>
      </c>
      <c r="D148" t="s">
        <v>24</v>
      </c>
      <c r="E148">
        <v>1</v>
      </c>
      <c r="G148" s="4"/>
      <c r="H148" s="2" t="s">
        <v>46</v>
      </c>
      <c r="I148" s="2">
        <v>40</v>
      </c>
      <c r="J148" s="10">
        <v>1</v>
      </c>
    </row>
    <row r="149" spans="1:10" ht="12.75">
      <c r="A149" t="s">
        <v>4</v>
      </c>
      <c r="B149">
        <v>40</v>
      </c>
      <c r="C149">
        <v>39</v>
      </c>
      <c r="D149" t="s">
        <v>25</v>
      </c>
      <c r="E149">
        <v>1</v>
      </c>
      <c r="G149" s="2" t="s">
        <v>103</v>
      </c>
      <c r="H149" s="3"/>
      <c r="I149" s="3"/>
      <c r="J149" s="10">
        <v>0</v>
      </c>
    </row>
    <row r="150" spans="1:10" ht="12.75">
      <c r="A150" t="s">
        <v>4</v>
      </c>
      <c r="B150">
        <v>40</v>
      </c>
      <c r="C150">
        <v>2</v>
      </c>
      <c r="D150" t="s">
        <v>24</v>
      </c>
      <c r="E150">
        <v>1</v>
      </c>
      <c r="G150" s="2" t="s">
        <v>104</v>
      </c>
      <c r="H150" s="3"/>
      <c r="I150" s="3"/>
      <c r="J150" s="10">
        <v>1</v>
      </c>
    </row>
    <row r="151" spans="1:10" ht="12.75">
      <c r="A151" t="s">
        <v>4</v>
      </c>
      <c r="B151">
        <v>40</v>
      </c>
      <c r="C151">
        <v>3</v>
      </c>
      <c r="D151" t="s">
        <v>25</v>
      </c>
      <c r="E151">
        <v>1</v>
      </c>
      <c r="G151" s="2" t="s">
        <v>5</v>
      </c>
      <c r="H151" s="2" t="s">
        <v>43</v>
      </c>
      <c r="I151" s="2">
        <v>20</v>
      </c>
      <c r="J151" s="10">
        <v>17</v>
      </c>
    </row>
    <row r="152" spans="1:10" ht="12.75">
      <c r="A152" t="s">
        <v>35</v>
      </c>
      <c r="B152">
        <v>40</v>
      </c>
      <c r="C152">
        <v>0</v>
      </c>
      <c r="D152" t="s">
        <v>24</v>
      </c>
      <c r="E152">
        <v>1</v>
      </c>
      <c r="G152" s="4"/>
      <c r="H152" s="4"/>
      <c r="I152" s="6">
        <v>40</v>
      </c>
      <c r="J152" s="11">
        <v>73</v>
      </c>
    </row>
    <row r="153" spans="1:10" ht="12.75">
      <c r="A153" t="s">
        <v>35</v>
      </c>
      <c r="B153">
        <v>40</v>
      </c>
      <c r="C153">
        <v>15</v>
      </c>
      <c r="D153" t="s">
        <v>24</v>
      </c>
      <c r="E153">
        <v>1</v>
      </c>
      <c r="G153" s="4"/>
      <c r="H153" s="2" t="s">
        <v>46</v>
      </c>
      <c r="I153" s="2">
        <v>20</v>
      </c>
      <c r="J153" s="10">
        <v>3</v>
      </c>
    </row>
    <row r="154" spans="1:10" ht="12.75">
      <c r="A154" t="s">
        <v>15</v>
      </c>
      <c r="B154">
        <v>20</v>
      </c>
      <c r="C154">
        <v>25</v>
      </c>
      <c r="D154" t="s">
        <v>24</v>
      </c>
      <c r="E154">
        <v>1</v>
      </c>
      <c r="G154" s="4"/>
      <c r="H154" s="4"/>
      <c r="I154" s="6">
        <v>40</v>
      </c>
      <c r="J154" s="11">
        <v>6</v>
      </c>
    </row>
    <row r="155" spans="1:10" ht="12.75">
      <c r="A155" t="s">
        <v>15</v>
      </c>
      <c r="B155">
        <v>40</v>
      </c>
      <c r="C155">
        <v>14</v>
      </c>
      <c r="D155" t="s">
        <v>24</v>
      </c>
      <c r="E155">
        <v>1</v>
      </c>
      <c r="G155" s="2" t="s">
        <v>105</v>
      </c>
      <c r="H155" s="3"/>
      <c r="I155" s="3"/>
      <c r="J155" s="10">
        <v>90</v>
      </c>
    </row>
    <row r="156" spans="1:10" ht="12.75">
      <c r="A156" t="s">
        <v>15</v>
      </c>
      <c r="B156">
        <v>40</v>
      </c>
      <c r="C156">
        <v>1</v>
      </c>
      <c r="D156" t="s">
        <v>24</v>
      </c>
      <c r="E156">
        <v>1</v>
      </c>
      <c r="G156" s="2" t="s">
        <v>106</v>
      </c>
      <c r="H156" s="3"/>
      <c r="I156" s="3"/>
      <c r="J156" s="10">
        <v>9</v>
      </c>
    </row>
    <row r="157" spans="1:10" ht="12.75">
      <c r="A157" t="s">
        <v>15</v>
      </c>
      <c r="B157">
        <v>20</v>
      </c>
      <c r="C157">
        <v>52</v>
      </c>
      <c r="D157" t="s">
        <v>24</v>
      </c>
      <c r="E157">
        <v>1</v>
      </c>
      <c r="G157" s="2" t="s">
        <v>119</v>
      </c>
      <c r="H157" s="2" t="s">
        <v>43</v>
      </c>
      <c r="I157" s="2">
        <v>40</v>
      </c>
      <c r="J157" s="10">
        <v>62</v>
      </c>
    </row>
    <row r="158" spans="1:10" ht="12.75">
      <c r="A158" t="s">
        <v>15</v>
      </c>
      <c r="B158">
        <v>40</v>
      </c>
      <c r="C158">
        <v>11</v>
      </c>
      <c r="D158" t="s">
        <v>24</v>
      </c>
      <c r="E158">
        <v>1</v>
      </c>
      <c r="G158" s="4"/>
      <c r="H158" s="2" t="s">
        <v>46</v>
      </c>
      <c r="I158" s="2">
        <v>40</v>
      </c>
      <c r="J158" s="10">
        <v>3</v>
      </c>
    </row>
    <row r="159" spans="1:10" ht="12.75">
      <c r="A159" t="s">
        <v>15</v>
      </c>
      <c r="B159">
        <v>20</v>
      </c>
      <c r="C159">
        <v>0</v>
      </c>
      <c r="D159" t="s">
        <v>22</v>
      </c>
      <c r="E159">
        <v>1</v>
      </c>
      <c r="G159" s="2" t="s">
        <v>131</v>
      </c>
      <c r="H159" s="3"/>
      <c r="I159" s="3"/>
      <c r="J159" s="10">
        <v>62</v>
      </c>
    </row>
    <row r="160" spans="1:10" ht="12.75">
      <c r="A160" t="s">
        <v>15</v>
      </c>
      <c r="B160">
        <v>20</v>
      </c>
      <c r="C160">
        <v>22</v>
      </c>
      <c r="D160" t="s">
        <v>24</v>
      </c>
      <c r="E160">
        <v>1</v>
      </c>
      <c r="G160" s="2" t="s">
        <v>132</v>
      </c>
      <c r="H160" s="3"/>
      <c r="I160" s="3"/>
      <c r="J160" s="10">
        <v>3</v>
      </c>
    </row>
    <row r="161" spans="1:10" ht="12.75">
      <c r="A161" t="s">
        <v>15</v>
      </c>
      <c r="B161">
        <v>40</v>
      </c>
      <c r="C161">
        <v>6</v>
      </c>
      <c r="D161" t="s">
        <v>24</v>
      </c>
      <c r="E161">
        <v>1</v>
      </c>
      <c r="G161" s="2" t="s">
        <v>47</v>
      </c>
      <c r="H161" s="3"/>
      <c r="I161" s="3"/>
      <c r="J161" s="10">
        <v>2138</v>
      </c>
    </row>
    <row r="162" spans="1:10" ht="12.75">
      <c r="A162" t="s">
        <v>15</v>
      </c>
      <c r="B162">
        <v>20</v>
      </c>
      <c r="C162">
        <v>1</v>
      </c>
      <c r="D162" t="s">
        <v>24</v>
      </c>
      <c r="E162">
        <v>1</v>
      </c>
      <c r="G162" s="7" t="s">
        <v>48</v>
      </c>
      <c r="H162" s="12"/>
      <c r="I162" s="12"/>
      <c r="J162" s="9">
        <v>163</v>
      </c>
    </row>
    <row r="163" spans="1:5" ht="12.75">
      <c r="A163" t="s">
        <v>15</v>
      </c>
      <c r="B163">
        <v>40</v>
      </c>
      <c r="C163">
        <v>8</v>
      </c>
      <c r="D163" t="s">
        <v>22</v>
      </c>
      <c r="E163">
        <v>1</v>
      </c>
    </row>
    <row r="164" spans="1:5" ht="12.75">
      <c r="A164" t="s">
        <v>15</v>
      </c>
      <c r="B164">
        <v>40</v>
      </c>
      <c r="C164">
        <v>64</v>
      </c>
      <c r="D164" t="s">
        <v>24</v>
      </c>
      <c r="E164">
        <v>1</v>
      </c>
    </row>
    <row r="165" spans="1:8" ht="12.75">
      <c r="A165" t="s">
        <v>11</v>
      </c>
      <c r="B165">
        <v>20</v>
      </c>
      <c r="C165">
        <v>13</v>
      </c>
      <c r="D165" t="s">
        <v>22</v>
      </c>
      <c r="E165">
        <v>1</v>
      </c>
      <c r="G165" s="5" t="s">
        <v>43</v>
      </c>
      <c r="H165" s="8"/>
    </row>
    <row r="166" spans="1:8" ht="12.75">
      <c r="A166" t="s">
        <v>11</v>
      </c>
      <c r="B166">
        <v>40</v>
      </c>
      <c r="C166">
        <v>2</v>
      </c>
      <c r="D166" t="s">
        <v>22</v>
      </c>
      <c r="E166">
        <v>1</v>
      </c>
      <c r="G166" s="5" t="s">
        <v>0</v>
      </c>
      <c r="H166" s="8" t="s">
        <v>42</v>
      </c>
    </row>
    <row r="167" spans="1:8" ht="12.75">
      <c r="A167" t="s">
        <v>11</v>
      </c>
      <c r="B167">
        <v>40</v>
      </c>
      <c r="C167">
        <v>0</v>
      </c>
      <c r="D167" t="s">
        <v>22</v>
      </c>
      <c r="E167">
        <v>1</v>
      </c>
      <c r="G167" s="2" t="s">
        <v>11</v>
      </c>
      <c r="H167" s="10">
        <v>60</v>
      </c>
    </row>
    <row r="168" spans="1:8" ht="12.75">
      <c r="A168" t="s">
        <v>11</v>
      </c>
      <c r="B168">
        <v>20</v>
      </c>
      <c r="C168">
        <v>19</v>
      </c>
      <c r="D168" t="s">
        <v>27</v>
      </c>
      <c r="E168">
        <v>0</v>
      </c>
      <c r="G168" s="6" t="s">
        <v>21</v>
      </c>
      <c r="H168" s="11">
        <v>2</v>
      </c>
    </row>
    <row r="169" spans="1:8" ht="12.75">
      <c r="A169" t="s">
        <v>11</v>
      </c>
      <c r="B169">
        <v>20</v>
      </c>
      <c r="C169">
        <v>1</v>
      </c>
      <c r="D169" t="s">
        <v>24</v>
      </c>
      <c r="E169">
        <v>1</v>
      </c>
      <c r="G169" s="6" t="s">
        <v>32</v>
      </c>
      <c r="H169" s="11">
        <v>51</v>
      </c>
    </row>
    <row r="170" spans="1:8" ht="12.75">
      <c r="A170" t="s">
        <v>11</v>
      </c>
      <c r="B170">
        <v>40</v>
      </c>
      <c r="C170">
        <v>2</v>
      </c>
      <c r="D170" t="s">
        <v>24</v>
      </c>
      <c r="E170">
        <v>1</v>
      </c>
      <c r="G170" s="6" t="s">
        <v>38</v>
      </c>
      <c r="H170" s="11">
        <v>30</v>
      </c>
    </row>
    <row r="171" spans="1:8" ht="12.75">
      <c r="A171" t="s">
        <v>11</v>
      </c>
      <c r="B171">
        <v>20</v>
      </c>
      <c r="C171">
        <v>1</v>
      </c>
      <c r="D171" t="s">
        <v>22</v>
      </c>
      <c r="E171">
        <v>1</v>
      </c>
      <c r="G171" s="6" t="s">
        <v>37</v>
      </c>
      <c r="H171" s="11">
        <v>18</v>
      </c>
    </row>
    <row r="172" spans="1:8" ht="12.75">
      <c r="A172" t="s">
        <v>11</v>
      </c>
      <c r="B172">
        <v>40</v>
      </c>
      <c r="C172">
        <v>10</v>
      </c>
      <c r="D172" t="s">
        <v>22</v>
      </c>
      <c r="E172">
        <v>1</v>
      </c>
      <c r="G172" s="6" t="s">
        <v>30</v>
      </c>
      <c r="H172" s="11">
        <v>290</v>
      </c>
    </row>
    <row r="173" spans="1:8" ht="12.75">
      <c r="A173" t="s">
        <v>11</v>
      </c>
      <c r="B173">
        <v>40</v>
      </c>
      <c r="C173">
        <v>0</v>
      </c>
      <c r="D173" t="s">
        <v>24</v>
      </c>
      <c r="E173">
        <v>1</v>
      </c>
      <c r="G173" s="6" t="s">
        <v>3</v>
      </c>
      <c r="H173" s="11">
        <v>3</v>
      </c>
    </row>
    <row r="174" spans="1:8" ht="12.75">
      <c r="A174" t="s">
        <v>11</v>
      </c>
      <c r="B174">
        <v>40</v>
      </c>
      <c r="C174">
        <v>12</v>
      </c>
      <c r="D174" t="s">
        <v>22</v>
      </c>
      <c r="E174">
        <v>1</v>
      </c>
      <c r="G174" s="6" t="s">
        <v>41</v>
      </c>
      <c r="H174" s="11">
        <v>32</v>
      </c>
    </row>
    <row r="175" spans="1:8" ht="12.75">
      <c r="A175" t="s">
        <v>11</v>
      </c>
      <c r="B175">
        <v>20</v>
      </c>
      <c r="C175">
        <v>0</v>
      </c>
      <c r="D175" t="s">
        <v>25</v>
      </c>
      <c r="E175">
        <v>1</v>
      </c>
      <c r="G175" s="6" t="s">
        <v>9</v>
      </c>
      <c r="H175" s="11">
        <v>14</v>
      </c>
    </row>
    <row r="176" spans="1:8" ht="12.75">
      <c r="A176" t="s">
        <v>10</v>
      </c>
      <c r="B176">
        <v>20</v>
      </c>
      <c r="C176">
        <v>0</v>
      </c>
      <c r="D176" t="s">
        <v>29</v>
      </c>
      <c r="E176">
        <v>1</v>
      </c>
      <c r="G176" s="6" t="s">
        <v>10</v>
      </c>
      <c r="H176" s="11">
        <v>84</v>
      </c>
    </row>
    <row r="177" spans="1:8" ht="12.75">
      <c r="A177" t="s">
        <v>10</v>
      </c>
      <c r="B177">
        <v>20</v>
      </c>
      <c r="C177">
        <v>37</v>
      </c>
      <c r="D177" t="s">
        <v>24</v>
      </c>
      <c r="E177">
        <v>1</v>
      </c>
      <c r="G177" s="6" t="s">
        <v>16</v>
      </c>
      <c r="H177" s="11">
        <v>58</v>
      </c>
    </row>
    <row r="178" spans="1:8" ht="12.75">
      <c r="A178" t="s">
        <v>10</v>
      </c>
      <c r="B178">
        <v>20</v>
      </c>
      <c r="C178">
        <v>7</v>
      </c>
      <c r="D178" t="s">
        <v>24</v>
      </c>
      <c r="E178">
        <v>1</v>
      </c>
      <c r="G178" s="6" t="s">
        <v>2</v>
      </c>
      <c r="H178" s="11">
        <v>110</v>
      </c>
    </row>
    <row r="179" spans="1:8" ht="12.75">
      <c r="A179" t="s">
        <v>10</v>
      </c>
      <c r="B179">
        <v>40</v>
      </c>
      <c r="C179">
        <v>0</v>
      </c>
      <c r="D179" t="s">
        <v>22</v>
      </c>
      <c r="E179">
        <v>1</v>
      </c>
      <c r="G179" s="6" t="s">
        <v>28</v>
      </c>
      <c r="H179" s="11">
        <v>44</v>
      </c>
    </row>
    <row r="180" spans="1:8" ht="12.75">
      <c r="A180" t="s">
        <v>10</v>
      </c>
      <c r="B180">
        <v>40</v>
      </c>
      <c r="C180">
        <v>40</v>
      </c>
      <c r="D180" t="s">
        <v>22</v>
      </c>
      <c r="E180">
        <v>1</v>
      </c>
      <c r="G180" s="6" t="s">
        <v>34</v>
      </c>
      <c r="H180" s="11">
        <v>70</v>
      </c>
    </row>
    <row r="181" spans="1:8" ht="12.75">
      <c r="A181" t="s">
        <v>3</v>
      </c>
      <c r="B181">
        <v>40</v>
      </c>
      <c r="C181">
        <v>1</v>
      </c>
      <c r="D181" t="s">
        <v>27</v>
      </c>
      <c r="E181">
        <v>0</v>
      </c>
      <c r="G181" s="6" t="s">
        <v>35</v>
      </c>
      <c r="H181" s="11">
        <v>15</v>
      </c>
    </row>
    <row r="182" spans="1:8" ht="12.75">
      <c r="A182" t="s">
        <v>3</v>
      </c>
      <c r="B182">
        <v>40</v>
      </c>
      <c r="C182">
        <v>0</v>
      </c>
      <c r="D182" t="s">
        <v>22</v>
      </c>
      <c r="E182">
        <v>1</v>
      </c>
      <c r="G182" s="6" t="s">
        <v>13</v>
      </c>
      <c r="H182" s="11">
        <v>254</v>
      </c>
    </row>
    <row r="183" spans="1:8" ht="12.75">
      <c r="A183" t="s">
        <v>3</v>
      </c>
      <c r="B183">
        <v>40</v>
      </c>
      <c r="C183">
        <v>2</v>
      </c>
      <c r="D183" t="s">
        <v>27</v>
      </c>
      <c r="E183">
        <v>1</v>
      </c>
      <c r="G183" s="6" t="s">
        <v>15</v>
      </c>
      <c r="H183" s="11">
        <v>204</v>
      </c>
    </row>
    <row r="184" spans="1:8" ht="12.75">
      <c r="A184" t="s">
        <v>36</v>
      </c>
      <c r="B184">
        <v>20</v>
      </c>
      <c r="C184">
        <v>49</v>
      </c>
      <c r="D184" t="s">
        <v>22</v>
      </c>
      <c r="E184">
        <v>1</v>
      </c>
      <c r="G184" s="6" t="s">
        <v>14</v>
      </c>
      <c r="H184" s="11">
        <v>275</v>
      </c>
    </row>
    <row r="185" spans="1:8" ht="12.75">
      <c r="A185" t="s">
        <v>36</v>
      </c>
      <c r="B185">
        <v>20</v>
      </c>
      <c r="C185">
        <v>27</v>
      </c>
      <c r="D185" t="s">
        <v>29</v>
      </c>
      <c r="E185">
        <v>1</v>
      </c>
      <c r="G185" s="6" t="s">
        <v>119</v>
      </c>
      <c r="H185" s="11">
        <v>62</v>
      </c>
    </row>
    <row r="186" spans="1:8" ht="12.75">
      <c r="A186" t="s">
        <v>37</v>
      </c>
      <c r="B186">
        <v>20</v>
      </c>
      <c r="C186">
        <v>18</v>
      </c>
      <c r="D186" t="s">
        <v>26</v>
      </c>
      <c r="E186">
        <v>1</v>
      </c>
      <c r="G186" s="6" t="s">
        <v>40</v>
      </c>
      <c r="H186" s="11">
        <v>3</v>
      </c>
    </row>
    <row r="187" spans="1:8" ht="12.75">
      <c r="A187" t="s">
        <v>38</v>
      </c>
      <c r="B187">
        <v>40</v>
      </c>
      <c r="C187">
        <v>4</v>
      </c>
      <c r="D187" t="s">
        <v>24</v>
      </c>
      <c r="E187">
        <v>1</v>
      </c>
      <c r="G187" s="6" t="s">
        <v>36</v>
      </c>
      <c r="H187" s="11">
        <v>76</v>
      </c>
    </row>
    <row r="188" spans="1:8" ht="12.75">
      <c r="A188" t="s">
        <v>38</v>
      </c>
      <c r="B188">
        <v>40</v>
      </c>
      <c r="C188">
        <v>25</v>
      </c>
      <c r="D188" t="s">
        <v>29</v>
      </c>
      <c r="E188">
        <v>1</v>
      </c>
      <c r="G188" s="6" t="s">
        <v>7</v>
      </c>
      <c r="H188" s="11">
        <v>79</v>
      </c>
    </row>
    <row r="189" spans="1:8" ht="12.75">
      <c r="A189" t="s">
        <v>38</v>
      </c>
      <c r="B189">
        <v>20</v>
      </c>
      <c r="C189">
        <v>1</v>
      </c>
      <c r="D189" t="s">
        <v>24</v>
      </c>
      <c r="E189">
        <v>1</v>
      </c>
      <c r="G189" s="6" t="s">
        <v>33</v>
      </c>
      <c r="H189" s="11">
        <v>4</v>
      </c>
    </row>
    <row r="190" spans="1:8" ht="12.75">
      <c r="A190" t="s">
        <v>39</v>
      </c>
      <c r="B190">
        <v>40</v>
      </c>
      <c r="C190">
        <v>0</v>
      </c>
      <c r="D190" t="s">
        <v>24</v>
      </c>
      <c r="E190">
        <v>1</v>
      </c>
      <c r="G190" s="6" t="s">
        <v>6</v>
      </c>
      <c r="H190" s="11">
        <v>72</v>
      </c>
    </row>
    <row r="191" spans="1:8" ht="12.75">
      <c r="A191" t="s">
        <v>40</v>
      </c>
      <c r="B191">
        <v>40</v>
      </c>
      <c r="C191">
        <v>3</v>
      </c>
      <c r="D191" t="s">
        <v>24</v>
      </c>
      <c r="E191">
        <v>1</v>
      </c>
      <c r="G191" s="6" t="s">
        <v>12</v>
      </c>
      <c r="H191" s="11">
        <v>11</v>
      </c>
    </row>
    <row r="192" spans="1:8" ht="12.75">
      <c r="A192" t="s">
        <v>41</v>
      </c>
      <c r="B192">
        <v>40</v>
      </c>
      <c r="C192">
        <v>4</v>
      </c>
      <c r="D192" t="s">
        <v>22</v>
      </c>
      <c r="E192">
        <v>1</v>
      </c>
      <c r="G192" s="6" t="s">
        <v>8</v>
      </c>
      <c r="H192" s="11">
        <v>38</v>
      </c>
    </row>
    <row r="193" spans="1:8" ht="12.75">
      <c r="A193" t="s">
        <v>41</v>
      </c>
      <c r="B193">
        <v>40</v>
      </c>
      <c r="C193">
        <v>28</v>
      </c>
      <c r="D193" t="s">
        <v>22</v>
      </c>
      <c r="E193">
        <v>1</v>
      </c>
      <c r="G193" s="6" t="s">
        <v>23</v>
      </c>
      <c r="H193" s="11">
        <v>43</v>
      </c>
    </row>
    <row r="194" spans="7:8" ht="12.75">
      <c r="G194" s="6" t="s">
        <v>4</v>
      </c>
      <c r="H194" s="11">
        <v>46</v>
      </c>
    </row>
    <row r="195" spans="7:8" ht="12.75">
      <c r="G195" s="6" t="s">
        <v>39</v>
      </c>
      <c r="H195" s="11">
        <v>0</v>
      </c>
    </row>
    <row r="196" spans="7:8" ht="12.75">
      <c r="G196" s="6" t="s">
        <v>5</v>
      </c>
      <c r="H196" s="11">
        <v>90</v>
      </c>
    </row>
    <row r="197" spans="7:8" ht="12.75">
      <c r="G197" s="7" t="s">
        <v>124</v>
      </c>
      <c r="H197" s="9">
        <v>2138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9"/>
  <sheetViews>
    <sheetView workbookViewId="0" topLeftCell="D82">
      <selection activeCell="G85" sqref="G85:H108"/>
    </sheetView>
  </sheetViews>
  <sheetFormatPr defaultColWidth="9.140625" defaultRowHeight="12.75"/>
  <cols>
    <col min="1" max="1" width="39.421875" style="0" customWidth="1"/>
    <col min="2" max="2" width="10.8515625" style="0" bestFit="1" customWidth="1"/>
    <col min="7" max="7" width="21.57421875" style="0" customWidth="1"/>
    <col min="8" max="8" width="5.00390625" style="0" customWidth="1"/>
    <col min="9" max="10" width="12.57421875" style="0" customWidth="1"/>
    <col min="11" max="11" width="10.57421875" style="0" customWidth="1"/>
    <col min="12" max="12" width="1.1484375" style="0" customWidth="1"/>
    <col min="13" max="13" width="21.57421875" style="0" bestFit="1" customWidth="1"/>
    <col min="14" max="21" width="8.140625" style="0" customWidth="1"/>
    <col min="22" max="22" width="10.57421875" style="0" bestFit="1" customWidth="1"/>
  </cols>
  <sheetData>
    <row r="1" ht="12.75">
      <c r="A1" s="1" t="s">
        <v>116</v>
      </c>
    </row>
    <row r="2" ht="12.75">
      <c r="M2" s="14"/>
    </row>
    <row r="3" ht="12.75">
      <c r="M3" s="14"/>
    </row>
    <row r="4" spans="1:11" ht="12.75">
      <c r="A4" s="1" t="s">
        <v>0</v>
      </c>
      <c r="B4" s="1" t="s">
        <v>18</v>
      </c>
      <c r="C4" s="1" t="s">
        <v>117</v>
      </c>
      <c r="D4" s="1" t="s">
        <v>19</v>
      </c>
      <c r="E4" s="1" t="s">
        <v>118</v>
      </c>
      <c r="G4" s="2"/>
      <c r="H4" s="3"/>
      <c r="I4" s="5" t="s">
        <v>18</v>
      </c>
      <c r="J4" s="3"/>
      <c r="K4" s="35"/>
    </row>
    <row r="5" spans="1:11" ht="12.75">
      <c r="A5" s="14" t="s">
        <v>30</v>
      </c>
      <c r="B5">
        <v>40</v>
      </c>
      <c r="C5">
        <v>6</v>
      </c>
      <c r="D5">
        <v>28</v>
      </c>
      <c r="E5">
        <v>0</v>
      </c>
      <c r="G5" s="5" t="s">
        <v>0</v>
      </c>
      <c r="H5" s="5" t="s">
        <v>45</v>
      </c>
      <c r="I5" s="2">
        <v>20</v>
      </c>
      <c r="J5" s="36">
        <v>40</v>
      </c>
      <c r="K5" s="8" t="s">
        <v>124</v>
      </c>
    </row>
    <row r="6" spans="1:11" ht="12.75">
      <c r="A6" s="14" t="s">
        <v>30</v>
      </c>
      <c r="B6">
        <v>20</v>
      </c>
      <c r="C6">
        <v>4</v>
      </c>
      <c r="D6">
        <v>9</v>
      </c>
      <c r="E6">
        <v>1</v>
      </c>
      <c r="G6" s="2" t="s">
        <v>32</v>
      </c>
      <c r="H6" s="2" t="s">
        <v>122</v>
      </c>
      <c r="I6" s="37">
        <v>3.4</v>
      </c>
      <c r="J6" s="38">
        <v>1</v>
      </c>
      <c r="K6" s="10">
        <v>4.4</v>
      </c>
    </row>
    <row r="7" spans="1:11" ht="12.75">
      <c r="A7" s="14" t="s">
        <v>30</v>
      </c>
      <c r="B7">
        <v>40</v>
      </c>
      <c r="C7">
        <v>6</v>
      </c>
      <c r="D7">
        <v>31</v>
      </c>
      <c r="E7">
        <v>0</v>
      </c>
      <c r="G7" s="4"/>
      <c r="H7" s="6" t="s">
        <v>43</v>
      </c>
      <c r="I7" s="39">
        <v>37</v>
      </c>
      <c r="J7" s="40">
        <v>5</v>
      </c>
      <c r="K7" s="11">
        <v>42</v>
      </c>
    </row>
    <row r="8" spans="1:11" ht="12.75">
      <c r="A8" s="14" t="s">
        <v>30</v>
      </c>
      <c r="B8">
        <v>20</v>
      </c>
      <c r="C8">
        <v>4</v>
      </c>
      <c r="D8">
        <v>23</v>
      </c>
      <c r="E8">
        <v>0</v>
      </c>
      <c r="G8" s="4"/>
      <c r="H8" s="6" t="s">
        <v>120</v>
      </c>
      <c r="I8" s="39">
        <v>3</v>
      </c>
      <c r="J8" s="40">
        <v>0</v>
      </c>
      <c r="K8" s="11">
        <v>3</v>
      </c>
    </row>
    <row r="9" spans="1:11" ht="12.75">
      <c r="A9" s="14" t="s">
        <v>30</v>
      </c>
      <c r="B9">
        <v>20</v>
      </c>
      <c r="C9">
        <v>3</v>
      </c>
      <c r="D9">
        <v>12</v>
      </c>
      <c r="E9">
        <v>2</v>
      </c>
      <c r="G9" s="2" t="s">
        <v>11</v>
      </c>
      <c r="H9" s="2" t="s">
        <v>122</v>
      </c>
      <c r="I9" s="37">
        <v>15</v>
      </c>
      <c r="J9" s="38">
        <v>22.3</v>
      </c>
      <c r="K9" s="10">
        <v>37.3</v>
      </c>
    </row>
    <row r="10" spans="1:11" ht="12.75">
      <c r="A10" s="14" t="s">
        <v>30</v>
      </c>
      <c r="B10">
        <v>20</v>
      </c>
      <c r="C10">
        <v>4</v>
      </c>
      <c r="D10">
        <v>30</v>
      </c>
      <c r="E10">
        <v>0</v>
      </c>
      <c r="G10" s="4"/>
      <c r="H10" s="6" t="s">
        <v>43</v>
      </c>
      <c r="I10" s="39">
        <v>109</v>
      </c>
      <c r="J10" s="40">
        <v>96</v>
      </c>
      <c r="K10" s="11">
        <v>205</v>
      </c>
    </row>
    <row r="11" spans="1:11" ht="12.75">
      <c r="A11" s="14" t="s">
        <v>30</v>
      </c>
      <c r="B11">
        <v>20</v>
      </c>
      <c r="C11">
        <v>3</v>
      </c>
      <c r="D11">
        <v>19</v>
      </c>
      <c r="E11">
        <v>1</v>
      </c>
      <c r="G11" s="4"/>
      <c r="H11" s="6" t="s">
        <v>120</v>
      </c>
      <c r="I11" s="39">
        <v>5</v>
      </c>
      <c r="J11" s="40">
        <v>6</v>
      </c>
      <c r="K11" s="11">
        <v>11</v>
      </c>
    </row>
    <row r="12" spans="1:11" ht="12.75">
      <c r="A12" s="14" t="s">
        <v>30</v>
      </c>
      <c r="B12">
        <v>40</v>
      </c>
      <c r="C12">
        <v>9</v>
      </c>
      <c r="D12">
        <v>19</v>
      </c>
      <c r="E12">
        <v>1</v>
      </c>
      <c r="G12" s="2" t="s">
        <v>38</v>
      </c>
      <c r="H12" s="2" t="s">
        <v>122</v>
      </c>
      <c r="I12" s="37"/>
      <c r="J12" s="38">
        <v>4</v>
      </c>
      <c r="K12" s="10">
        <v>4</v>
      </c>
    </row>
    <row r="13" spans="1:11" ht="12.75">
      <c r="A13" s="14" t="s">
        <v>30</v>
      </c>
      <c r="B13">
        <v>20</v>
      </c>
      <c r="C13">
        <v>4</v>
      </c>
      <c r="D13">
        <v>17</v>
      </c>
      <c r="E13">
        <v>2</v>
      </c>
      <c r="G13" s="4"/>
      <c r="H13" s="6" t="s">
        <v>43</v>
      </c>
      <c r="I13" s="39"/>
      <c r="J13" s="40">
        <v>7</v>
      </c>
      <c r="K13" s="11">
        <v>7</v>
      </c>
    </row>
    <row r="14" spans="1:11" ht="12.75">
      <c r="A14" s="14" t="s">
        <v>30</v>
      </c>
      <c r="B14">
        <v>40</v>
      </c>
      <c r="C14">
        <v>2</v>
      </c>
      <c r="D14">
        <v>18</v>
      </c>
      <c r="E14">
        <v>0</v>
      </c>
      <c r="G14" s="4"/>
      <c r="H14" s="6" t="s">
        <v>120</v>
      </c>
      <c r="I14" s="39"/>
      <c r="J14" s="40">
        <v>4</v>
      </c>
      <c r="K14" s="11">
        <v>4</v>
      </c>
    </row>
    <row r="15" spans="1:11" ht="12.75">
      <c r="A15" s="14" t="s">
        <v>30</v>
      </c>
      <c r="B15">
        <v>40</v>
      </c>
      <c r="C15">
        <v>7</v>
      </c>
      <c r="D15">
        <v>34</v>
      </c>
      <c r="E15">
        <v>2</v>
      </c>
      <c r="G15" s="2" t="s">
        <v>30</v>
      </c>
      <c r="H15" s="2" t="s">
        <v>122</v>
      </c>
      <c r="I15" s="37">
        <v>26</v>
      </c>
      <c r="J15" s="38">
        <v>47</v>
      </c>
      <c r="K15" s="10">
        <v>73</v>
      </c>
    </row>
    <row r="16" spans="1:11" ht="12.75">
      <c r="A16" s="14" t="s">
        <v>30</v>
      </c>
      <c r="B16">
        <v>40</v>
      </c>
      <c r="C16">
        <v>3</v>
      </c>
      <c r="D16">
        <v>10</v>
      </c>
      <c r="E16">
        <v>2</v>
      </c>
      <c r="G16" s="4"/>
      <c r="H16" s="6" t="s">
        <v>43</v>
      </c>
      <c r="I16" s="39">
        <v>119</v>
      </c>
      <c r="J16" s="40">
        <v>167</v>
      </c>
      <c r="K16" s="11">
        <v>286</v>
      </c>
    </row>
    <row r="17" spans="1:11" ht="12.75">
      <c r="A17" s="14" t="s">
        <v>30</v>
      </c>
      <c r="B17">
        <v>20</v>
      </c>
      <c r="C17">
        <v>4</v>
      </c>
      <c r="D17">
        <v>9</v>
      </c>
      <c r="E17">
        <v>1</v>
      </c>
      <c r="G17" s="4"/>
      <c r="H17" s="6" t="s">
        <v>120</v>
      </c>
      <c r="I17" s="39">
        <v>7</v>
      </c>
      <c r="J17" s="40">
        <v>8</v>
      </c>
      <c r="K17" s="11">
        <v>15</v>
      </c>
    </row>
    <row r="18" spans="1:11" ht="12.75">
      <c r="A18" s="14" t="s">
        <v>30</v>
      </c>
      <c r="B18">
        <v>40</v>
      </c>
      <c r="C18">
        <v>6</v>
      </c>
      <c r="D18">
        <v>15</v>
      </c>
      <c r="E18">
        <v>1</v>
      </c>
      <c r="G18" s="2" t="s">
        <v>3</v>
      </c>
      <c r="H18" s="2" t="s">
        <v>122</v>
      </c>
      <c r="I18" s="37"/>
      <c r="J18" s="38">
        <v>10</v>
      </c>
      <c r="K18" s="10">
        <v>10</v>
      </c>
    </row>
    <row r="19" spans="1:11" ht="12.75">
      <c r="A19" s="14" t="s">
        <v>30</v>
      </c>
      <c r="B19">
        <v>40</v>
      </c>
      <c r="C19">
        <v>8</v>
      </c>
      <c r="D19">
        <v>12</v>
      </c>
      <c r="E19">
        <v>2</v>
      </c>
      <c r="G19" s="4"/>
      <c r="H19" s="6" t="s">
        <v>43</v>
      </c>
      <c r="I19" s="39"/>
      <c r="J19" s="40">
        <v>41</v>
      </c>
      <c r="K19" s="11">
        <v>41</v>
      </c>
    </row>
    <row r="20" spans="1:11" ht="12.75">
      <c r="A20" s="14" t="s">
        <v>8</v>
      </c>
      <c r="B20">
        <v>40</v>
      </c>
      <c r="C20">
        <v>3</v>
      </c>
      <c r="D20">
        <v>21</v>
      </c>
      <c r="E20">
        <v>0</v>
      </c>
      <c r="G20" s="4"/>
      <c r="H20" s="6" t="s">
        <v>120</v>
      </c>
      <c r="I20" s="39"/>
      <c r="J20" s="40">
        <v>0</v>
      </c>
      <c r="K20" s="11">
        <v>0</v>
      </c>
    </row>
    <row r="21" spans="1:11" ht="12.75">
      <c r="A21" s="14" t="s">
        <v>8</v>
      </c>
      <c r="B21">
        <v>20</v>
      </c>
      <c r="C21">
        <v>3</v>
      </c>
      <c r="D21">
        <v>17</v>
      </c>
      <c r="E21">
        <v>1</v>
      </c>
      <c r="G21" s="2" t="s">
        <v>41</v>
      </c>
      <c r="H21" s="2" t="s">
        <v>122</v>
      </c>
      <c r="I21" s="37"/>
      <c r="J21" s="38">
        <v>6</v>
      </c>
      <c r="K21" s="10">
        <v>6</v>
      </c>
    </row>
    <row r="22" spans="1:11" ht="12.75">
      <c r="A22" s="14" t="s">
        <v>8</v>
      </c>
      <c r="B22">
        <v>20</v>
      </c>
      <c r="C22">
        <v>2</v>
      </c>
      <c r="D22">
        <v>13</v>
      </c>
      <c r="E22">
        <v>0</v>
      </c>
      <c r="G22" s="4"/>
      <c r="H22" s="6" t="s">
        <v>43</v>
      </c>
      <c r="I22" s="39"/>
      <c r="J22" s="40">
        <v>11</v>
      </c>
      <c r="K22" s="11">
        <v>11</v>
      </c>
    </row>
    <row r="23" spans="1:11" ht="12.75">
      <c r="A23" s="14" t="s">
        <v>8</v>
      </c>
      <c r="B23">
        <v>40</v>
      </c>
      <c r="C23">
        <v>8</v>
      </c>
      <c r="D23">
        <v>20</v>
      </c>
      <c r="E23">
        <v>2</v>
      </c>
      <c r="G23" s="4"/>
      <c r="H23" s="6" t="s">
        <v>120</v>
      </c>
      <c r="I23" s="39"/>
      <c r="J23" s="40">
        <v>2</v>
      </c>
      <c r="K23" s="11">
        <v>2</v>
      </c>
    </row>
    <row r="24" spans="1:11" ht="12.75">
      <c r="A24" s="14" t="s">
        <v>8</v>
      </c>
      <c r="B24">
        <v>20</v>
      </c>
      <c r="C24">
        <v>3</v>
      </c>
      <c r="D24">
        <v>23</v>
      </c>
      <c r="E24">
        <v>0</v>
      </c>
      <c r="G24" s="2" t="s">
        <v>9</v>
      </c>
      <c r="H24" s="2" t="s">
        <v>122</v>
      </c>
      <c r="I24" s="37">
        <v>13</v>
      </c>
      <c r="J24" s="38">
        <v>34.3</v>
      </c>
      <c r="K24" s="10">
        <v>47.3</v>
      </c>
    </row>
    <row r="25" spans="1:11" ht="12.75">
      <c r="A25" s="14" t="s">
        <v>8</v>
      </c>
      <c r="B25">
        <v>20</v>
      </c>
      <c r="C25">
        <v>2</v>
      </c>
      <c r="D25">
        <v>20</v>
      </c>
      <c r="E25">
        <v>0</v>
      </c>
      <c r="G25" s="4"/>
      <c r="H25" s="6" t="s">
        <v>43</v>
      </c>
      <c r="I25" s="39">
        <v>65</v>
      </c>
      <c r="J25" s="40">
        <v>179</v>
      </c>
      <c r="K25" s="11">
        <v>244</v>
      </c>
    </row>
    <row r="26" spans="1:11" ht="12.75">
      <c r="A26" s="14" t="s">
        <v>8</v>
      </c>
      <c r="B26">
        <v>40</v>
      </c>
      <c r="C26">
        <v>8</v>
      </c>
      <c r="D26">
        <v>31</v>
      </c>
      <c r="E26">
        <v>1</v>
      </c>
      <c r="G26" s="4"/>
      <c r="H26" s="6" t="s">
        <v>120</v>
      </c>
      <c r="I26" s="39">
        <v>7</v>
      </c>
      <c r="J26" s="40">
        <v>2</v>
      </c>
      <c r="K26" s="11">
        <v>9</v>
      </c>
    </row>
    <row r="27" spans="1:11" ht="12.75">
      <c r="A27" s="14" t="s">
        <v>8</v>
      </c>
      <c r="B27">
        <v>20</v>
      </c>
      <c r="C27">
        <v>4</v>
      </c>
      <c r="D27">
        <v>8</v>
      </c>
      <c r="E27">
        <v>0</v>
      </c>
      <c r="G27" s="2" t="s">
        <v>10</v>
      </c>
      <c r="H27" s="2" t="s">
        <v>122</v>
      </c>
      <c r="I27" s="37">
        <v>3</v>
      </c>
      <c r="J27" s="38"/>
      <c r="K27" s="10">
        <v>3</v>
      </c>
    </row>
    <row r="28" spans="1:11" ht="12.75">
      <c r="A28" s="14" t="s">
        <v>8</v>
      </c>
      <c r="B28">
        <v>40</v>
      </c>
      <c r="C28">
        <v>5</v>
      </c>
      <c r="D28">
        <v>27</v>
      </c>
      <c r="E28">
        <v>0</v>
      </c>
      <c r="G28" s="4"/>
      <c r="H28" s="6" t="s">
        <v>43</v>
      </c>
      <c r="I28" s="39">
        <v>26</v>
      </c>
      <c r="J28" s="40"/>
      <c r="K28" s="11">
        <v>26</v>
      </c>
    </row>
    <row r="29" spans="1:11" ht="12.75">
      <c r="A29" s="14" t="s">
        <v>9</v>
      </c>
      <c r="B29">
        <v>40</v>
      </c>
      <c r="C29">
        <v>2</v>
      </c>
      <c r="D29">
        <v>22</v>
      </c>
      <c r="E29">
        <v>0</v>
      </c>
      <c r="G29" s="4"/>
      <c r="H29" s="6" t="s">
        <v>120</v>
      </c>
      <c r="I29" s="39">
        <v>0</v>
      </c>
      <c r="J29" s="40"/>
      <c r="K29" s="11">
        <v>0</v>
      </c>
    </row>
    <row r="30" spans="1:11" ht="12.75">
      <c r="A30" s="14" t="s">
        <v>9</v>
      </c>
      <c r="B30">
        <v>40</v>
      </c>
      <c r="C30">
        <v>5</v>
      </c>
      <c r="D30">
        <v>37</v>
      </c>
      <c r="E30">
        <v>0</v>
      </c>
      <c r="G30" s="2" t="s">
        <v>16</v>
      </c>
      <c r="H30" s="2" t="s">
        <v>122</v>
      </c>
      <c r="I30" s="37">
        <v>5</v>
      </c>
      <c r="J30" s="38">
        <v>6</v>
      </c>
      <c r="K30" s="10">
        <v>11</v>
      </c>
    </row>
    <row r="31" spans="1:11" ht="12.75">
      <c r="A31" s="14" t="s">
        <v>9</v>
      </c>
      <c r="B31">
        <v>20</v>
      </c>
      <c r="C31">
        <v>3</v>
      </c>
      <c r="D31">
        <v>6</v>
      </c>
      <c r="E31">
        <v>2</v>
      </c>
      <c r="G31" s="4"/>
      <c r="H31" s="6" t="s">
        <v>43</v>
      </c>
      <c r="I31" s="39">
        <v>43</v>
      </c>
      <c r="J31" s="40">
        <v>29</v>
      </c>
      <c r="K31" s="11">
        <v>72</v>
      </c>
    </row>
    <row r="32" spans="1:11" ht="12.75">
      <c r="A32" s="14" t="s">
        <v>9</v>
      </c>
      <c r="B32">
        <v>40</v>
      </c>
      <c r="C32">
        <v>5</v>
      </c>
      <c r="D32">
        <v>19</v>
      </c>
      <c r="E32">
        <v>0</v>
      </c>
      <c r="G32" s="4"/>
      <c r="H32" s="6" t="s">
        <v>120</v>
      </c>
      <c r="I32" s="39">
        <v>0</v>
      </c>
      <c r="J32" s="40">
        <v>2</v>
      </c>
      <c r="K32" s="11">
        <v>2</v>
      </c>
    </row>
    <row r="33" spans="1:11" ht="12.75">
      <c r="A33" s="14" t="s">
        <v>9</v>
      </c>
      <c r="B33">
        <v>20</v>
      </c>
      <c r="C33">
        <v>4</v>
      </c>
      <c r="D33">
        <v>22</v>
      </c>
      <c r="E33">
        <v>1</v>
      </c>
      <c r="G33" s="2" t="s">
        <v>2</v>
      </c>
      <c r="H33" s="2" t="s">
        <v>122</v>
      </c>
      <c r="I33" s="37">
        <v>25</v>
      </c>
      <c r="J33" s="38">
        <v>55</v>
      </c>
      <c r="K33" s="10">
        <v>80</v>
      </c>
    </row>
    <row r="34" spans="1:11" ht="12.75">
      <c r="A34" s="14" t="s">
        <v>9</v>
      </c>
      <c r="B34">
        <v>20</v>
      </c>
      <c r="C34">
        <v>2</v>
      </c>
      <c r="D34">
        <v>15</v>
      </c>
      <c r="E34">
        <v>1</v>
      </c>
      <c r="G34" s="4"/>
      <c r="H34" s="6" t="s">
        <v>43</v>
      </c>
      <c r="I34" s="39">
        <v>155</v>
      </c>
      <c r="J34" s="40">
        <v>201</v>
      </c>
      <c r="K34" s="11">
        <v>356</v>
      </c>
    </row>
    <row r="35" spans="1:11" ht="12.75">
      <c r="A35" s="14" t="s">
        <v>9</v>
      </c>
      <c r="B35">
        <v>20</v>
      </c>
      <c r="C35">
        <v>3</v>
      </c>
      <c r="D35">
        <v>16</v>
      </c>
      <c r="E35">
        <v>3</v>
      </c>
      <c r="G35" s="4"/>
      <c r="H35" s="6" t="s">
        <v>120</v>
      </c>
      <c r="I35" s="39">
        <v>4</v>
      </c>
      <c r="J35" s="40">
        <v>7</v>
      </c>
      <c r="K35" s="11">
        <v>11</v>
      </c>
    </row>
    <row r="36" spans="1:11" ht="12.75">
      <c r="A36" s="14" t="s">
        <v>9</v>
      </c>
      <c r="B36">
        <v>40</v>
      </c>
      <c r="C36">
        <v>5</v>
      </c>
      <c r="D36">
        <v>25</v>
      </c>
      <c r="E36">
        <v>1</v>
      </c>
      <c r="G36" s="2" t="s">
        <v>28</v>
      </c>
      <c r="H36" s="2" t="s">
        <v>122</v>
      </c>
      <c r="I36" s="37"/>
      <c r="J36" s="38">
        <v>12</v>
      </c>
      <c r="K36" s="10">
        <v>12</v>
      </c>
    </row>
    <row r="37" spans="1:11" ht="12.75">
      <c r="A37" s="14" t="s">
        <v>9</v>
      </c>
      <c r="B37">
        <v>40</v>
      </c>
      <c r="C37">
        <v>8</v>
      </c>
      <c r="D37">
        <v>40</v>
      </c>
      <c r="E37">
        <v>1</v>
      </c>
      <c r="G37" s="4"/>
      <c r="H37" s="6" t="s">
        <v>43</v>
      </c>
      <c r="I37" s="39"/>
      <c r="J37" s="40">
        <v>63</v>
      </c>
      <c r="K37" s="11">
        <v>63</v>
      </c>
    </row>
    <row r="38" spans="1:11" ht="12.75">
      <c r="A38" s="14" t="s">
        <v>9</v>
      </c>
      <c r="B38">
        <v>20</v>
      </c>
      <c r="C38">
        <v>1</v>
      </c>
      <c r="D38">
        <v>6</v>
      </c>
      <c r="E38">
        <v>0</v>
      </c>
      <c r="G38" s="4"/>
      <c r="H38" s="6" t="s">
        <v>120</v>
      </c>
      <c r="I38" s="39"/>
      <c r="J38" s="40">
        <v>0</v>
      </c>
      <c r="K38" s="11">
        <v>0</v>
      </c>
    </row>
    <row r="39" spans="1:11" ht="12.75">
      <c r="A39" s="14" t="s">
        <v>9</v>
      </c>
      <c r="B39">
        <v>40</v>
      </c>
      <c r="C39">
        <v>2.3</v>
      </c>
      <c r="D39">
        <v>6</v>
      </c>
      <c r="E39">
        <v>0</v>
      </c>
      <c r="G39" s="2" t="s">
        <v>34</v>
      </c>
      <c r="H39" s="2" t="s">
        <v>122</v>
      </c>
      <c r="I39" s="37">
        <v>6</v>
      </c>
      <c r="J39" s="38">
        <v>8.2</v>
      </c>
      <c r="K39" s="10">
        <v>14.2</v>
      </c>
    </row>
    <row r="40" spans="1:11" ht="12.75">
      <c r="A40" s="14" t="s">
        <v>9</v>
      </c>
      <c r="B40">
        <v>40</v>
      </c>
      <c r="C40">
        <v>7</v>
      </c>
      <c r="D40">
        <v>30</v>
      </c>
      <c r="E40">
        <v>0</v>
      </c>
      <c r="G40" s="4"/>
      <c r="H40" s="6" t="s">
        <v>43</v>
      </c>
      <c r="I40" s="39">
        <v>42</v>
      </c>
      <c r="J40" s="40">
        <v>32</v>
      </c>
      <c r="K40" s="11">
        <v>74</v>
      </c>
    </row>
    <row r="41" spans="1:11" ht="12.75">
      <c r="A41" s="14" t="s">
        <v>13</v>
      </c>
      <c r="B41">
        <v>40</v>
      </c>
      <c r="C41">
        <v>8</v>
      </c>
      <c r="D41">
        <v>20</v>
      </c>
      <c r="E41">
        <v>4</v>
      </c>
      <c r="G41" s="4"/>
      <c r="H41" s="6" t="s">
        <v>120</v>
      </c>
      <c r="I41" s="39">
        <v>0</v>
      </c>
      <c r="J41" s="40">
        <v>3</v>
      </c>
      <c r="K41" s="11">
        <v>3</v>
      </c>
    </row>
    <row r="42" spans="1:11" ht="12.75">
      <c r="A42" s="14" t="s">
        <v>13</v>
      </c>
      <c r="B42">
        <v>40</v>
      </c>
      <c r="C42">
        <v>4</v>
      </c>
      <c r="D42">
        <v>26</v>
      </c>
      <c r="E42">
        <v>1</v>
      </c>
      <c r="G42" s="2" t="s">
        <v>35</v>
      </c>
      <c r="H42" s="2" t="s">
        <v>122</v>
      </c>
      <c r="I42" s="37"/>
      <c r="J42" s="38">
        <v>7</v>
      </c>
      <c r="K42" s="10">
        <v>7</v>
      </c>
    </row>
    <row r="43" spans="1:11" ht="12.75">
      <c r="A43" s="14" t="s">
        <v>13</v>
      </c>
      <c r="B43">
        <v>20</v>
      </c>
      <c r="C43">
        <v>4</v>
      </c>
      <c r="D43">
        <v>29</v>
      </c>
      <c r="E43">
        <v>0</v>
      </c>
      <c r="G43" s="4"/>
      <c r="H43" s="6" t="s">
        <v>43</v>
      </c>
      <c r="I43" s="39"/>
      <c r="J43" s="40">
        <v>55</v>
      </c>
      <c r="K43" s="11">
        <v>55</v>
      </c>
    </row>
    <row r="44" spans="1:11" ht="12.75">
      <c r="A44" s="14" t="s">
        <v>13</v>
      </c>
      <c r="B44">
        <v>20</v>
      </c>
      <c r="C44">
        <v>4</v>
      </c>
      <c r="D44">
        <v>17</v>
      </c>
      <c r="E44">
        <v>1</v>
      </c>
      <c r="G44" s="4"/>
      <c r="H44" s="6" t="s">
        <v>120</v>
      </c>
      <c r="I44" s="39"/>
      <c r="J44" s="40">
        <v>0</v>
      </c>
      <c r="K44" s="11">
        <v>0</v>
      </c>
    </row>
    <row r="45" spans="1:11" ht="12.75">
      <c r="A45" s="14" t="s">
        <v>13</v>
      </c>
      <c r="B45">
        <v>20</v>
      </c>
      <c r="C45">
        <v>2</v>
      </c>
      <c r="D45">
        <v>10</v>
      </c>
      <c r="E45">
        <v>1</v>
      </c>
      <c r="G45" s="2" t="s">
        <v>13</v>
      </c>
      <c r="H45" s="2" t="s">
        <v>122</v>
      </c>
      <c r="I45" s="37">
        <v>15</v>
      </c>
      <c r="J45" s="38">
        <v>44.2</v>
      </c>
      <c r="K45" s="10">
        <v>59.2</v>
      </c>
    </row>
    <row r="46" spans="1:11" ht="12.75">
      <c r="A46" s="14" t="s">
        <v>13</v>
      </c>
      <c r="B46">
        <v>20</v>
      </c>
      <c r="C46">
        <v>2</v>
      </c>
      <c r="D46">
        <v>15</v>
      </c>
      <c r="E46">
        <v>1</v>
      </c>
      <c r="G46" s="4"/>
      <c r="H46" s="6" t="s">
        <v>43</v>
      </c>
      <c r="I46" s="39">
        <v>82</v>
      </c>
      <c r="J46" s="40">
        <v>117</v>
      </c>
      <c r="K46" s="11">
        <v>199</v>
      </c>
    </row>
    <row r="47" spans="1:11" ht="12.75">
      <c r="A47" s="14" t="s">
        <v>13</v>
      </c>
      <c r="B47">
        <v>20</v>
      </c>
      <c r="C47">
        <v>3</v>
      </c>
      <c r="D47">
        <v>11</v>
      </c>
      <c r="E47">
        <v>1</v>
      </c>
      <c r="G47" s="4"/>
      <c r="H47" s="6" t="s">
        <v>120</v>
      </c>
      <c r="I47" s="39">
        <v>4</v>
      </c>
      <c r="J47" s="40">
        <v>11</v>
      </c>
      <c r="K47" s="11">
        <v>15</v>
      </c>
    </row>
    <row r="48" spans="1:11" ht="12.75">
      <c r="A48" s="14" t="s">
        <v>13</v>
      </c>
      <c r="B48">
        <v>40</v>
      </c>
      <c r="C48">
        <v>1.2</v>
      </c>
      <c r="D48">
        <v>0</v>
      </c>
      <c r="E48">
        <v>0</v>
      </c>
      <c r="G48" s="2" t="s">
        <v>15</v>
      </c>
      <c r="H48" s="2" t="s">
        <v>122</v>
      </c>
      <c r="I48" s="37">
        <v>1</v>
      </c>
      <c r="J48" s="38">
        <v>2</v>
      </c>
      <c r="K48" s="10">
        <v>3</v>
      </c>
    </row>
    <row r="49" spans="1:11" ht="12.75">
      <c r="A49" s="14" t="s">
        <v>13</v>
      </c>
      <c r="B49">
        <v>40</v>
      </c>
      <c r="C49">
        <v>8</v>
      </c>
      <c r="D49">
        <v>21</v>
      </c>
      <c r="E49">
        <v>3</v>
      </c>
      <c r="G49" s="4"/>
      <c r="H49" s="6" t="s">
        <v>43</v>
      </c>
      <c r="I49" s="39">
        <v>13</v>
      </c>
      <c r="J49" s="40">
        <v>20</v>
      </c>
      <c r="K49" s="11">
        <v>33</v>
      </c>
    </row>
    <row r="50" spans="1:11" ht="12.75">
      <c r="A50" s="14" t="s">
        <v>13</v>
      </c>
      <c r="B50">
        <v>40</v>
      </c>
      <c r="C50">
        <v>8</v>
      </c>
      <c r="D50">
        <v>9</v>
      </c>
      <c r="E50">
        <v>2</v>
      </c>
      <c r="G50" s="4"/>
      <c r="H50" s="6" t="s">
        <v>120</v>
      </c>
      <c r="I50" s="39">
        <v>2</v>
      </c>
      <c r="J50" s="40">
        <v>0</v>
      </c>
      <c r="K50" s="11">
        <v>2</v>
      </c>
    </row>
    <row r="51" spans="1:11" ht="12.75">
      <c r="A51" s="14" t="s">
        <v>13</v>
      </c>
      <c r="B51">
        <v>40</v>
      </c>
      <c r="C51">
        <v>3</v>
      </c>
      <c r="D51">
        <v>20</v>
      </c>
      <c r="E51">
        <v>0</v>
      </c>
      <c r="G51" s="2" t="s">
        <v>14</v>
      </c>
      <c r="H51" s="2" t="s">
        <v>122</v>
      </c>
      <c r="I51" s="37">
        <v>2</v>
      </c>
      <c r="J51" s="38"/>
      <c r="K51" s="10">
        <v>2</v>
      </c>
    </row>
    <row r="52" spans="1:11" ht="12.75">
      <c r="A52" s="14" t="s">
        <v>13</v>
      </c>
      <c r="B52">
        <v>40</v>
      </c>
      <c r="C52">
        <v>8</v>
      </c>
      <c r="D52">
        <v>11</v>
      </c>
      <c r="E52">
        <v>1</v>
      </c>
      <c r="G52" s="4"/>
      <c r="H52" s="6" t="s">
        <v>43</v>
      </c>
      <c r="I52" s="39">
        <v>25</v>
      </c>
      <c r="J52" s="40"/>
      <c r="K52" s="11">
        <v>25</v>
      </c>
    </row>
    <row r="53" spans="1:11" ht="12.75">
      <c r="A53" s="14" t="s">
        <v>13</v>
      </c>
      <c r="B53">
        <v>40</v>
      </c>
      <c r="C53">
        <v>4</v>
      </c>
      <c r="D53">
        <v>10</v>
      </c>
      <c r="E53">
        <v>0</v>
      </c>
      <c r="G53" s="4"/>
      <c r="H53" s="6" t="s">
        <v>120</v>
      </c>
      <c r="I53" s="39">
        <v>0</v>
      </c>
      <c r="J53" s="40"/>
      <c r="K53" s="11">
        <v>0</v>
      </c>
    </row>
    <row r="54" spans="1:11" ht="12.75">
      <c r="A54" s="14" t="s">
        <v>23</v>
      </c>
      <c r="B54">
        <v>40</v>
      </c>
      <c r="C54">
        <v>5</v>
      </c>
      <c r="D54">
        <v>27</v>
      </c>
      <c r="E54">
        <v>0</v>
      </c>
      <c r="G54" s="2" t="s">
        <v>119</v>
      </c>
      <c r="H54" s="2" t="s">
        <v>122</v>
      </c>
      <c r="I54" s="37"/>
      <c r="J54" s="38">
        <v>19</v>
      </c>
      <c r="K54" s="10">
        <v>19</v>
      </c>
    </row>
    <row r="55" spans="1:19" ht="12.75">
      <c r="A55" s="14" t="s">
        <v>23</v>
      </c>
      <c r="B55">
        <v>40</v>
      </c>
      <c r="C55">
        <v>5</v>
      </c>
      <c r="D55">
        <v>31</v>
      </c>
      <c r="E55">
        <v>2</v>
      </c>
      <c r="G55" s="4"/>
      <c r="H55" s="6" t="s">
        <v>43</v>
      </c>
      <c r="I55" s="39"/>
      <c r="J55" s="40">
        <v>69</v>
      </c>
      <c r="K55" s="11">
        <v>69</v>
      </c>
      <c r="M55" s="14"/>
      <c r="N55" s="43" t="s">
        <v>125</v>
      </c>
      <c r="O55" s="43"/>
      <c r="P55" s="43"/>
      <c r="Q55" s="43" t="s">
        <v>126</v>
      </c>
      <c r="R55" s="43"/>
      <c r="S55" s="43"/>
    </row>
    <row r="56" spans="1:19" ht="12.75">
      <c r="A56" s="14" t="s">
        <v>28</v>
      </c>
      <c r="B56">
        <v>40</v>
      </c>
      <c r="C56">
        <v>5</v>
      </c>
      <c r="D56">
        <v>27</v>
      </c>
      <c r="E56">
        <v>0</v>
      </c>
      <c r="G56" s="4"/>
      <c r="H56" s="6" t="s">
        <v>120</v>
      </c>
      <c r="I56" s="39"/>
      <c r="J56" s="40">
        <v>3</v>
      </c>
      <c r="K56" s="11">
        <v>3</v>
      </c>
      <c r="N56" s="18">
        <v>20</v>
      </c>
      <c r="O56" s="18">
        <v>40</v>
      </c>
      <c r="P56" s="18" t="s">
        <v>42</v>
      </c>
      <c r="Q56" s="18">
        <v>20</v>
      </c>
      <c r="R56" s="18">
        <v>40</v>
      </c>
      <c r="S56" s="18" t="s">
        <v>42</v>
      </c>
    </row>
    <row r="57" spans="1:19" ht="12.75">
      <c r="A57" s="14" t="s">
        <v>28</v>
      </c>
      <c r="B57">
        <v>40</v>
      </c>
      <c r="C57">
        <v>7</v>
      </c>
      <c r="D57">
        <v>36</v>
      </c>
      <c r="E57">
        <v>0</v>
      </c>
      <c r="G57" s="2" t="s">
        <v>40</v>
      </c>
      <c r="H57" s="2" t="s">
        <v>122</v>
      </c>
      <c r="I57" s="37"/>
      <c r="J57" s="38">
        <v>4</v>
      </c>
      <c r="K57" s="10">
        <v>4</v>
      </c>
      <c r="M57" s="14" t="s">
        <v>11</v>
      </c>
      <c r="N57">
        <f>GETPIVOTDATA("Sum of Runs",$G$4,"Name","Adam Dziedzic (Sally)","Game type",20)/GETPIVOTDATA("Sum of Wickets",$G$4,"Name","Adam Dziedzic (Sally)","Game type",20)</f>
        <v>21.8</v>
      </c>
      <c r="O57">
        <f>GETPIVOTDATA("Sum of Runs",$G$4,"Name","Adam Dziedzic (Sally)","Game type",40)/GETPIVOTDATA("Sum of Wickets",$G$4,"Name","Adam Dziedzic (Sally)","Game type",40)</f>
        <v>16</v>
      </c>
      <c r="P57">
        <f>GETPIVOTDATA("Sum of Runs",$G$4,"Name","Adam Dziedzic (Sally)")/GETPIVOTDATA("Sum of Wickets",$G$4,"Name","Adam Dziedzic (Sally)")</f>
        <v>18.636363636363637</v>
      </c>
      <c r="Q57">
        <f>GETPIVOTDATA("Sum of Runs",$G$4,"Name","Adam Dziedzic (Sally)","Game type",20)/GETPIVOTDATA("Sum of Overs",$G$4,"Name","Adam Dziedzic (Sally)","Game type",20)</f>
        <v>7.266666666666667</v>
      </c>
      <c r="R57">
        <f>GETPIVOTDATA("Sum of Runs",$G$4,"Name","Adam Dziedzic (Sally)","Game type",40)/GETPIVOTDATA("Sum of Overs",$G$4,"Name","Adam Dziedzic (Sally)","Game type",40)</f>
        <v>4.304932735426009</v>
      </c>
      <c r="S57">
        <f>GETPIVOTDATA("Sum of Runs",$G$4,"Name","Adam Dziedzic (Sally)")/GETPIVOTDATA("Sum of Overs",$G$4,"Name","Adam Dziedzic (Sally)")</f>
        <v>5.495978552278821</v>
      </c>
    </row>
    <row r="58" spans="1:19" ht="12.75">
      <c r="A58" s="14" t="s">
        <v>5</v>
      </c>
      <c r="B58">
        <v>40</v>
      </c>
      <c r="C58">
        <v>2.4</v>
      </c>
      <c r="D58">
        <v>17</v>
      </c>
      <c r="E58">
        <v>1</v>
      </c>
      <c r="G58" s="4"/>
      <c r="H58" s="6" t="s">
        <v>43</v>
      </c>
      <c r="I58" s="39"/>
      <c r="J58" s="40">
        <v>11</v>
      </c>
      <c r="K58" s="11">
        <v>11</v>
      </c>
      <c r="M58" s="14" t="s">
        <v>32</v>
      </c>
      <c r="N58">
        <f>GETPIVOTDATA("Sum of Runs",$G$4,"Name","Alex Cox","Game type",20)/GETPIVOTDATA("Sum of Wickets",$G$4,"Name","Alex Cox","Game type",20)</f>
        <v>12.333333333333334</v>
      </c>
      <c r="O58" t="e">
        <f>GETPIVOTDATA("Sum of Runs",$G$4,"Name","Alex Cox","Game type",40)/GETPIVOTDATA("Sum of Wickets",$G$4,"Name","Alex Cox","Game type",40)</f>
        <v>#DIV/0!</v>
      </c>
      <c r="P58">
        <f>GETPIVOTDATA("Sum of Runs",$G$4,"Name","Alex Cox")/GETPIVOTDATA("Sum of Wickets",$G$4,"Name","Alex Cox")</f>
        <v>14</v>
      </c>
      <c r="Q58">
        <f>GETPIVOTDATA("Sum of Runs",$G$4,"Name","Alex Cox","Game type",20)/GETPIVOTDATA("Sum of Overs",$G$4,"Name","Alex Cox","Game type",20)</f>
        <v>10.882352941176471</v>
      </c>
      <c r="R58">
        <f>GETPIVOTDATA("Sum of Runs",$G$4,"Name","Alex Cox","Game type",40)/GETPIVOTDATA("Sum of Overs",$G$4,"Name","Alex Cox","Game type",40)</f>
        <v>5</v>
      </c>
      <c r="S58">
        <f>GETPIVOTDATA("Sum of Runs",$G$4,"Name","Alex Cox")/GETPIVOTDATA("Sum of Overs",$G$4,"Name","Alex Cox")</f>
        <v>9.545454545454545</v>
      </c>
    </row>
    <row r="59" spans="1:19" ht="12.75">
      <c r="A59" s="14" t="s">
        <v>5</v>
      </c>
      <c r="B59">
        <v>20</v>
      </c>
      <c r="C59">
        <v>4</v>
      </c>
      <c r="D59">
        <v>10</v>
      </c>
      <c r="E59">
        <v>3</v>
      </c>
      <c r="G59" s="4"/>
      <c r="H59" s="6" t="s">
        <v>120</v>
      </c>
      <c r="I59" s="39"/>
      <c r="J59" s="40">
        <v>0</v>
      </c>
      <c r="K59" s="11">
        <v>0</v>
      </c>
      <c r="M59" s="14" t="s">
        <v>38</v>
      </c>
      <c r="N59" t="s">
        <v>111</v>
      </c>
      <c r="O59">
        <f>GETPIVOTDATA("Sum of Runs",$G$4,"Name","Barrie Cooper","Game type",40)/GETPIVOTDATA("Sum of Wickets",$G$4,"Name","Barrie Cooper","Game type",40)</f>
        <v>1.75</v>
      </c>
      <c r="P59">
        <f>GETPIVOTDATA("Sum of Runs",$G$4,"Name","Barrie Cooper")/GETPIVOTDATA("Sum of Wickets",$G$4,"Name","Barrie Cooper")</f>
        <v>1.75</v>
      </c>
      <c r="Q59" t="s">
        <v>111</v>
      </c>
      <c r="R59">
        <f>GETPIVOTDATA("Sum of Runs",$G$4,"Name","Barrie Cooper","Game type",40)/GETPIVOTDATA("Sum of Overs",$G$4,"Name","Barrie Cooper","Game type",40)</f>
        <v>1.75</v>
      </c>
      <c r="S59">
        <f>GETPIVOTDATA("Sum of Runs",$G$4,"Name","Barrie Cooper")/GETPIVOTDATA("Sum of Overs",$G$4,"Name","Barrie Cooper")</f>
        <v>1.75</v>
      </c>
    </row>
    <row r="60" spans="1:19" ht="12.75">
      <c r="A60" s="14" t="s">
        <v>5</v>
      </c>
      <c r="B60">
        <v>40</v>
      </c>
      <c r="C60">
        <v>2</v>
      </c>
      <c r="D60">
        <v>9</v>
      </c>
      <c r="E60">
        <v>0</v>
      </c>
      <c r="G60" s="2" t="s">
        <v>33</v>
      </c>
      <c r="H60" s="2" t="s">
        <v>122</v>
      </c>
      <c r="I60" s="37"/>
      <c r="J60" s="38">
        <v>19</v>
      </c>
      <c r="K60" s="10">
        <v>19</v>
      </c>
      <c r="M60" s="14" t="s">
        <v>30</v>
      </c>
      <c r="N60">
        <f>GETPIVOTDATA("Sum of Runs",$G$4,"Name","Duncan Lee (Bettina)","Game type",20)/GETPIVOTDATA("Sum of Wickets",$G$4,"Name","Duncan Lee (Bettina)","Game type",20)</f>
        <v>17</v>
      </c>
      <c r="O60">
        <f>GETPIVOTDATA("Sum of Runs",$G$4,"Name","Duncan Lee (Bettina)","Game type",40)/GETPIVOTDATA("Sum of Wickets",$G$4,"Name","Duncan Lee (Bettina)","Game type",40)</f>
        <v>20.875</v>
      </c>
      <c r="P60">
        <f>GETPIVOTDATA("Sum of Runs",$G$4,"Name","Duncan Lee (Bettina)")/GETPIVOTDATA("Sum of Wickets",$G$4,"Name","Duncan Lee (Bettina)")</f>
        <v>19.066666666666666</v>
      </c>
      <c r="Q60">
        <f>GETPIVOTDATA("Sum of Runs",$G$4,"Name","Duncan Lee (Bettina)","Game type",20)/GETPIVOTDATA("Sum of Overs",$G$4,"Name","Duncan Lee (Bettina)","Game type",20)</f>
        <v>4.576923076923077</v>
      </c>
      <c r="R60">
        <f>GETPIVOTDATA("Sum of Runs",$G$4,"Name","Duncan Lee (Bettina)","Game type",40)/GETPIVOTDATA("Sum of Overs",$G$4,"Name","Duncan Lee (Bettina)","Game type",40)</f>
        <v>3.5531914893617023</v>
      </c>
      <c r="S60">
        <f>GETPIVOTDATA("Sum of Runs",$G$4,"Name","Duncan Lee (Bettina)")/GETPIVOTDATA("Sum of Overs",$G$4,"Name","Duncan Lee (Bettina)")</f>
        <v>3.9178082191780823</v>
      </c>
    </row>
    <row r="61" spans="1:19" ht="12.75">
      <c r="A61" s="14" t="s">
        <v>5</v>
      </c>
      <c r="B61">
        <v>20</v>
      </c>
      <c r="C61">
        <v>4</v>
      </c>
      <c r="D61">
        <v>12</v>
      </c>
      <c r="E61">
        <v>3</v>
      </c>
      <c r="G61" s="4"/>
      <c r="H61" s="6" t="s">
        <v>43</v>
      </c>
      <c r="I61" s="39"/>
      <c r="J61" s="40">
        <v>63</v>
      </c>
      <c r="K61" s="11">
        <v>63</v>
      </c>
      <c r="M61" s="14" t="s">
        <v>3</v>
      </c>
      <c r="N61" t="s">
        <v>111</v>
      </c>
      <c r="O61" t="e">
        <f>GETPIVOTDATA("Sum of Runs",$G$4,"Name","Duncan Rance","Game type",40)/GETPIVOTDATA("Sum of Wickets",$G$4,"Name","Duncan Rance","Game type",40)</f>
        <v>#DIV/0!</v>
      </c>
      <c r="P61" t="e">
        <f>GETPIVOTDATA("Sum of Runs",$G$4,"Name","Duncan Rance")/GETPIVOTDATA("Sum of Wickets",$G$4,"Name","Duncan Rance")</f>
        <v>#DIV/0!</v>
      </c>
      <c r="Q61" t="s">
        <v>111</v>
      </c>
      <c r="R61">
        <f>GETPIVOTDATA("Sum of Runs",$G$4,"Name","Duncan Rance","Game type",40)/GETPIVOTDATA("Sum of Overs",$G$4,"Name","Duncan Rance","Game type",40)</f>
        <v>4.1</v>
      </c>
      <c r="S61">
        <f>GETPIVOTDATA("Sum of Runs",$G$4,"Name","Duncan Rance")/GETPIVOTDATA("Sum of Overs",$G$4,"Name","Duncan Rance")</f>
        <v>4.1</v>
      </c>
    </row>
    <row r="62" spans="1:19" ht="12.75">
      <c r="A62" s="14" t="s">
        <v>5</v>
      </c>
      <c r="B62">
        <v>40</v>
      </c>
      <c r="C62">
        <v>8</v>
      </c>
      <c r="D62">
        <v>39</v>
      </c>
      <c r="E62">
        <v>1</v>
      </c>
      <c r="G62" s="4"/>
      <c r="H62" s="6" t="s">
        <v>120</v>
      </c>
      <c r="I62" s="39"/>
      <c r="J62" s="40">
        <v>1</v>
      </c>
      <c r="K62" s="11">
        <v>1</v>
      </c>
      <c r="M62" s="14" t="s">
        <v>41</v>
      </c>
      <c r="N62" t="s">
        <v>111</v>
      </c>
      <c r="O62">
        <f>GETPIVOTDATA("Sum of Runs",$G$4,"Name","Glyn Flinders (Polly)","Game type",40)/GETPIVOTDATA("Sum of Wickets",$G$4,"Name","Glyn Flinders (Polly)","Game type",40)</f>
        <v>5.5</v>
      </c>
      <c r="P62">
        <f>GETPIVOTDATA("Sum of Runs",$G$4,"Name","Glyn Flinders (Polly)")/GETPIVOTDATA("Sum of Wickets",$G$4,"Name","Glyn Flinders (Polly)")</f>
        <v>5.5</v>
      </c>
      <c r="Q62" t="s">
        <v>111</v>
      </c>
      <c r="R62">
        <f>GETPIVOTDATA("Sum of Runs",$G$4,"Name","Glyn Flinders (Polly)","Game type",40)/GETPIVOTDATA("Sum of Overs",$G$4,"Name","Glyn Flinders (Polly)","Game type",40)</f>
        <v>1.8333333333333333</v>
      </c>
      <c r="S62">
        <f>GETPIVOTDATA("Sum of Runs",$G$4,"Name","Glyn Flinders (Polly)")/GETPIVOTDATA("Sum of Overs",$G$4,"Name","Glyn Flinders (Polly)")</f>
        <v>1.8333333333333333</v>
      </c>
    </row>
    <row r="63" spans="1:19" ht="12.75">
      <c r="A63" s="14" t="s">
        <v>5</v>
      </c>
      <c r="B63">
        <v>20</v>
      </c>
      <c r="C63">
        <v>4</v>
      </c>
      <c r="D63">
        <v>29</v>
      </c>
      <c r="E63">
        <v>1</v>
      </c>
      <c r="G63" s="2" t="s">
        <v>6</v>
      </c>
      <c r="H63" s="2" t="s">
        <v>122</v>
      </c>
      <c r="I63" s="37"/>
      <c r="J63" s="38">
        <v>8</v>
      </c>
      <c r="K63" s="10">
        <v>8</v>
      </c>
      <c r="M63" s="14" t="s">
        <v>9</v>
      </c>
      <c r="N63">
        <f>GETPIVOTDATA("Sum of Runs",$G$4,"Name","Gregory Sankaran","Game type",20)/GETPIVOTDATA("Sum of Wickets",$G$4,"Name","Gregory Sankaran","Game type",20)</f>
        <v>9.285714285714286</v>
      </c>
      <c r="O63">
        <f>GETPIVOTDATA("Sum of Runs",$G$4,"Name","Gregory Sankaran","Game type",40)/GETPIVOTDATA("Sum of Wickets",$G$4,"Name","Gregory Sankaran","Game type",40)</f>
        <v>89.5</v>
      </c>
      <c r="P63">
        <f>GETPIVOTDATA("Sum of Runs",$G$4,"Name","Gregory Sankaran")/GETPIVOTDATA("Sum of Wickets",$G$4,"Name","Gregory Sankaran")</f>
        <v>27.11111111111111</v>
      </c>
      <c r="Q63">
        <f>GETPIVOTDATA("Sum of Runs",$G$4,"Name","Gregory Sankaran","Game type",20)/GETPIVOTDATA("Sum of Overs",$G$4,"Name","Gregory Sankaran","Game type",20)</f>
        <v>5</v>
      </c>
      <c r="R63">
        <f>GETPIVOTDATA("Sum of Runs",$G$4,"Name","Gregory Sankaran","Game type",40)/GETPIVOTDATA("Sum of Overs",$G$4,"Name","Gregory Sankaran","Game type",40)</f>
        <v>5.21865889212828</v>
      </c>
      <c r="S63">
        <f>GETPIVOTDATA("Sum of Runs",$G$4,"Name","Gregory Sankaran")/GETPIVOTDATA("Sum of Overs",$G$4,"Name","Gregory Sankaran")</f>
        <v>5.158562367864694</v>
      </c>
    </row>
    <row r="64" spans="1:19" ht="12.75">
      <c r="A64" s="14" t="s">
        <v>5</v>
      </c>
      <c r="B64">
        <v>20</v>
      </c>
      <c r="C64">
        <v>2</v>
      </c>
      <c r="D64">
        <v>24</v>
      </c>
      <c r="E64">
        <v>0</v>
      </c>
      <c r="G64" s="4"/>
      <c r="H64" s="6" t="s">
        <v>43</v>
      </c>
      <c r="I64" s="39"/>
      <c r="J64" s="40">
        <v>29</v>
      </c>
      <c r="K64" s="11">
        <v>29</v>
      </c>
      <c r="M64" s="14" t="s">
        <v>10</v>
      </c>
      <c r="N64" t="e">
        <f>GETPIVOTDATA("Sum of Runs",$G$4,"Name","Ian Bezodis","Game type",20)/GETPIVOTDATA("Sum of Wickets",$G$4,"Name","Ian Bezodis","Game type",20)</f>
        <v>#DIV/0!</v>
      </c>
      <c r="O64" t="s">
        <v>111</v>
      </c>
      <c r="P64" t="e">
        <f>GETPIVOTDATA("Sum of Runs",$G$4,"Name","Ian Bezodis","Game type",20)/GETPIVOTDATA("Sum of Wickets",$G$4,"Name","Ian Bezodis","Game type",20)</f>
        <v>#DIV/0!</v>
      </c>
      <c r="Q64">
        <f>GETPIVOTDATA("Sum of Runs",$G$4,"Name","Ian Bezodis","Game type",20)/GETPIVOTDATA("Sum of Overs",$G$4,"Name","Ian Bezodis","Game type",20)</f>
        <v>8.666666666666666</v>
      </c>
      <c r="R64" t="s">
        <v>111</v>
      </c>
      <c r="S64">
        <f>GETPIVOTDATA("Sum of Runs",$G$4,"Name","Ian Bezodis","Game type",20)/GETPIVOTDATA("Sum of Overs",$G$4,"Name","Ian Bezodis","Game type",20)</f>
        <v>8.666666666666666</v>
      </c>
    </row>
    <row r="65" spans="1:19" ht="12.75">
      <c r="A65" s="14" t="s">
        <v>5</v>
      </c>
      <c r="B65">
        <v>20</v>
      </c>
      <c r="C65">
        <v>4</v>
      </c>
      <c r="D65">
        <v>20</v>
      </c>
      <c r="E65">
        <v>1</v>
      </c>
      <c r="G65" s="4"/>
      <c r="H65" s="6" t="s">
        <v>120</v>
      </c>
      <c r="I65" s="39"/>
      <c r="J65" s="40">
        <v>1</v>
      </c>
      <c r="K65" s="11">
        <v>1</v>
      </c>
      <c r="M65" s="14" t="s">
        <v>16</v>
      </c>
      <c r="N65" t="e">
        <f>GETPIVOTDATA("Sum of Runs",$G$4,"Name","James Coughlan (Toni)","Game type",20)/GETPIVOTDATA("Sum of Wickets",$G$4,"Name","James Coughlan (Toni)","Game type",20)</f>
        <v>#DIV/0!</v>
      </c>
      <c r="O65">
        <f>GETPIVOTDATA("Sum of Runs",$G$4,"Name","James Coughlan (Toni)","Game type",40)/GETPIVOTDATA("Sum of Wickets",$G$4,"Name","James Coughlan (Toni)","Game type",40)</f>
        <v>14.5</v>
      </c>
      <c r="P65">
        <f>GETPIVOTDATA("Sum of Runs",$G$4,"Name","James Coughlan (Toni)")/GETPIVOTDATA("Sum of Wickets",$G$4,"Name","James Coughlan (Toni)")</f>
        <v>36</v>
      </c>
      <c r="Q65">
        <f>GETPIVOTDATA("Sum of Runs",$G$4,"Name","James Coughlan (Toni)","Game type",20)/GETPIVOTDATA("Sum of Overs",$G$4,"Name","James Coughlan (Toni)","Game type",20)</f>
        <v>8.6</v>
      </c>
      <c r="R65">
        <f>GETPIVOTDATA("Sum of Runs",$G$4,"Name","James Coughlan (Toni)","Game type",40)/GETPIVOTDATA("Sum of Overs",$G$4,"Name","James Coughlan (Toni)","Game type",40)</f>
        <v>4.833333333333333</v>
      </c>
      <c r="S65">
        <f>GETPIVOTDATA("Sum of Runs",$G$4,"Name","James Coughlan (Toni)")/GETPIVOTDATA("Sum of Overs",$G$4,"Name","James Coughlan (Toni)")</f>
        <v>6.545454545454546</v>
      </c>
    </row>
    <row r="66" spans="1:19" ht="12.75">
      <c r="A66" s="14" t="s">
        <v>5</v>
      </c>
      <c r="B66">
        <v>40</v>
      </c>
      <c r="C66">
        <v>4</v>
      </c>
      <c r="D66">
        <v>10</v>
      </c>
      <c r="E66">
        <v>2</v>
      </c>
      <c r="G66" s="2" t="s">
        <v>12</v>
      </c>
      <c r="H66" s="2" t="s">
        <v>122</v>
      </c>
      <c r="I66" s="37">
        <v>3</v>
      </c>
      <c r="J66" s="38">
        <v>17</v>
      </c>
      <c r="K66" s="10">
        <v>20</v>
      </c>
      <c r="M66" s="14" t="s">
        <v>2</v>
      </c>
      <c r="N66">
        <f>GETPIVOTDATA("Sum of Runs",$G$4,"Name","James Dutton","Game type",20)/GETPIVOTDATA("Sum of Wickets",$G$4,"Name","James Dutton","Game type",20)</f>
        <v>38.75</v>
      </c>
      <c r="O66">
        <f>GETPIVOTDATA("Sum of Runs",$G$4,"Name","James Dutton","Game type",40)/GETPIVOTDATA("Sum of Wickets",$G$4,"Name","James Dutton","Game type",40)</f>
        <v>28.714285714285715</v>
      </c>
      <c r="P66">
        <f>GETPIVOTDATA("Sum of Runs",$G$4,"Name","James Dutton")/GETPIVOTDATA("Sum of Wickets",$G$4,"Name","James Dutton")</f>
        <v>32.36363636363637</v>
      </c>
      <c r="Q66">
        <f>GETPIVOTDATA("Sum of Runs",$G$4,"Name","James Dutton","Game type",20)/GETPIVOTDATA("Sum of Overs",$G$4,"Name","James Dutton","Game type",20)</f>
        <v>6.2</v>
      </c>
      <c r="R66">
        <f>GETPIVOTDATA("Sum of Runs",$G$4,"Name","James Dutton","Game type",40)/GETPIVOTDATA("Sum of Overs",$G$4,"Name","James Dutton","Game type",40)</f>
        <v>3.6545454545454548</v>
      </c>
      <c r="S66">
        <f>GETPIVOTDATA("Sum of Runs",$G$4,"Name","James Dutton")/GETPIVOTDATA("Sum of Overs",$G$4,"Name","James Dutton")</f>
        <v>4.45</v>
      </c>
    </row>
    <row r="67" spans="1:19" ht="12.75">
      <c r="A67" s="14" t="s">
        <v>2</v>
      </c>
      <c r="B67">
        <v>40</v>
      </c>
      <c r="C67">
        <v>2</v>
      </c>
      <c r="D67">
        <v>17</v>
      </c>
      <c r="E67">
        <v>0</v>
      </c>
      <c r="G67" s="4"/>
      <c r="H67" s="6" t="s">
        <v>43</v>
      </c>
      <c r="I67" s="39">
        <v>21</v>
      </c>
      <c r="J67" s="40">
        <v>70</v>
      </c>
      <c r="K67" s="11">
        <v>91</v>
      </c>
      <c r="M67" s="14" t="s">
        <v>28</v>
      </c>
      <c r="N67" t="s">
        <v>111</v>
      </c>
      <c r="O67" t="e">
        <f>GETPIVOTDATA("Sum of Runs",$G$4,"Name","John Cook","Game type",40)/GETPIVOTDATA("Sum of Wickets",$G$4,"Name","John Cook","Game type",40)</f>
        <v>#DIV/0!</v>
      </c>
      <c r="P67" t="e">
        <f>GETPIVOTDATA("Sum of Runs",$G$4,"Name","John Cook")/GETPIVOTDATA("Sum of Wickets",$G$4,"Name","John Cook")</f>
        <v>#DIV/0!</v>
      </c>
      <c r="Q67" t="s">
        <v>111</v>
      </c>
      <c r="R67">
        <f>GETPIVOTDATA("Sum of Runs",$G$4,"Name","John Cook","Game type",40)/GETPIVOTDATA("Sum of Overs",$G$4,"Name","John Cook","Game type",40)</f>
        <v>5.25</v>
      </c>
      <c r="S67">
        <f>GETPIVOTDATA("Sum of Runs",$G$4,"Name","John Cook")/GETPIVOTDATA("Sum of Overs",$G$4,"Name","John Cook")</f>
        <v>5.25</v>
      </c>
    </row>
    <row r="68" spans="1:19" ht="12.75">
      <c r="A68" s="14" t="s">
        <v>2</v>
      </c>
      <c r="B68">
        <v>20</v>
      </c>
      <c r="C68">
        <v>4</v>
      </c>
      <c r="D68">
        <v>7</v>
      </c>
      <c r="E68">
        <v>1</v>
      </c>
      <c r="G68" s="4"/>
      <c r="H68" s="6" t="s">
        <v>120</v>
      </c>
      <c r="I68" s="39">
        <v>0</v>
      </c>
      <c r="J68" s="40">
        <v>2</v>
      </c>
      <c r="K68" s="11">
        <v>2</v>
      </c>
      <c r="M68" s="14" t="s">
        <v>34</v>
      </c>
      <c r="N68" t="e">
        <f>GETPIVOTDATA("Sum of Runs",$G$4,"Name","John Harris","Game type",20)/GETPIVOTDATA("Sum of Wickets",$G$4,"Name","John Harris","Game type",20)</f>
        <v>#DIV/0!</v>
      </c>
      <c r="O68">
        <f>GETPIVOTDATA("Sum of Runs",$G$4,"Name","John Harris","Game type",40)/GETPIVOTDATA("Sum of Wickets",$G$4,"Name","John Harris","Game type",40)</f>
        <v>10.666666666666666</v>
      </c>
      <c r="P68">
        <f>GETPIVOTDATA("Sum of Runs",$G$4,"Name","John Harris")/GETPIVOTDATA("Sum of Wickets",$G$4,"Name","John Harris")</f>
        <v>24.666666666666668</v>
      </c>
      <c r="Q68">
        <f>GETPIVOTDATA("Sum of Runs",$G$4,"Name","John Harris","Game type",20)/GETPIVOTDATA("Sum of Overs",$G$4,"Name","John Harris","Game type",20)</f>
        <v>7</v>
      </c>
      <c r="R68">
        <f>GETPIVOTDATA("Sum of Runs",$G$4,"Name","John Harris","Game type",40)/GETPIVOTDATA("Sum of Overs",$G$4,"Name","John Harris","Game type",40)</f>
        <v>3.9024390243902443</v>
      </c>
      <c r="S68">
        <f>GETPIVOTDATA("Sum of Runs",$G$4,"Name","John Harris")/GETPIVOTDATA("Sum of Overs",$G$4,"Name","John Harris")</f>
        <v>5.211267605633803</v>
      </c>
    </row>
    <row r="69" spans="1:19" ht="12.75">
      <c r="A69" s="14" t="s">
        <v>2</v>
      </c>
      <c r="B69">
        <v>40</v>
      </c>
      <c r="C69">
        <v>8</v>
      </c>
      <c r="D69">
        <v>32</v>
      </c>
      <c r="E69">
        <v>1</v>
      </c>
      <c r="G69" s="2" t="s">
        <v>8</v>
      </c>
      <c r="H69" s="2" t="s">
        <v>122</v>
      </c>
      <c r="I69" s="37">
        <v>14</v>
      </c>
      <c r="J69" s="38">
        <v>24</v>
      </c>
      <c r="K69" s="10">
        <v>38</v>
      </c>
      <c r="M69" s="14" t="s">
        <v>35</v>
      </c>
      <c r="N69" t="s">
        <v>111</v>
      </c>
      <c r="O69" t="e">
        <f>GETPIVOTDATA("Sum of Runs",$G$4,"Name","Kartyk","Game type",40)/GETPIVOTDATA("Sum of Wickets",$G$4,"Name","Kartyk","Game type",40)</f>
        <v>#DIV/0!</v>
      </c>
      <c r="P69" t="e">
        <f>GETPIVOTDATA("Sum of Runs",$G$4,"Name","Kartyk")/GETPIVOTDATA("Sum of Wickets",$G$4,"Name","Kartyk")</f>
        <v>#DIV/0!</v>
      </c>
      <c r="Q69" t="s">
        <v>111</v>
      </c>
      <c r="R69">
        <f>GETPIVOTDATA("Sum of Runs",$G$4,"Name","Kartyk","Game type",40)/GETPIVOTDATA("Sum of Overs",$G$4,"Name","Kartyk","Game type",40)</f>
        <v>7.857142857142857</v>
      </c>
      <c r="S69">
        <f>GETPIVOTDATA("Sum of Runs",$G$4,"Name","Kartyk")/GETPIVOTDATA("Sum of Overs",$G$4,"Name","Kartyk")</f>
        <v>7.857142857142857</v>
      </c>
    </row>
    <row r="70" spans="1:19" ht="12.75">
      <c r="A70" s="14" t="s">
        <v>2</v>
      </c>
      <c r="B70">
        <v>20</v>
      </c>
      <c r="C70">
        <v>4</v>
      </c>
      <c r="D70">
        <v>41</v>
      </c>
      <c r="E70">
        <v>1</v>
      </c>
      <c r="G70" s="4"/>
      <c r="H70" s="6" t="s">
        <v>43</v>
      </c>
      <c r="I70" s="39">
        <v>81</v>
      </c>
      <c r="J70" s="40">
        <v>99</v>
      </c>
      <c r="K70" s="11">
        <v>180</v>
      </c>
      <c r="M70" s="14" t="s">
        <v>13</v>
      </c>
      <c r="N70">
        <f>GETPIVOTDATA("Sum of Runs",$G$4,"Name","Kevin  Robinson","Game type",20)/GETPIVOTDATA("Sum of Wickets",$G$4,"Name","Kevin  Robinson","Game type",20)</f>
        <v>20.5</v>
      </c>
      <c r="O70">
        <f>GETPIVOTDATA("Sum of Runs",$G$4,"Name","Kevin  Robinson","Game type",40)/GETPIVOTDATA("Sum of Wickets",$G$4,"Name","Kevin  Robinson","Game type",40)</f>
        <v>10.636363636363637</v>
      </c>
      <c r="P70">
        <f>GETPIVOTDATA("Sum of Runs",$G$4,"Name","Kevin  Robinson")/GETPIVOTDATA("Sum of Wickets",$G$4,"Name","Kevin  Robinson")</f>
        <v>13.266666666666667</v>
      </c>
      <c r="Q70">
        <f>GETPIVOTDATA("Sum of Runs",$G$4,"Name","Kevin  Robinson","Game type",20)/GETPIVOTDATA("Sum of Overs",$G$4,"Name","Kevin  Robinson","Game type",20)</f>
        <v>5.466666666666667</v>
      </c>
      <c r="R70">
        <f>GETPIVOTDATA("Sum of Runs",$G$4,"Name","Kevin  Robinson","Game type",40)/GETPIVOTDATA("Sum of Overs",$G$4,"Name","Kevin  Robinson","Game type",40)</f>
        <v>2.6470588235294117</v>
      </c>
      <c r="S70">
        <f>GETPIVOTDATA("Sum of Runs",$G$4,"Name","Kevin  Robinson")/GETPIVOTDATA("Sum of Overs",$G$4,"Name","Kevin  Robinson")</f>
        <v>3.3614864864864864</v>
      </c>
    </row>
    <row r="71" spans="1:19" ht="12.75">
      <c r="A71" s="14" t="s">
        <v>2</v>
      </c>
      <c r="B71">
        <v>40</v>
      </c>
      <c r="C71">
        <v>7</v>
      </c>
      <c r="D71">
        <v>23</v>
      </c>
      <c r="E71">
        <v>0</v>
      </c>
      <c r="G71" s="4"/>
      <c r="H71" s="6" t="s">
        <v>120</v>
      </c>
      <c r="I71" s="39">
        <v>1</v>
      </c>
      <c r="J71" s="40">
        <v>3</v>
      </c>
      <c r="K71" s="11">
        <v>4</v>
      </c>
      <c r="M71" s="14" t="s">
        <v>15</v>
      </c>
      <c r="N71">
        <f>GETPIVOTDATA("Sum of Runs",$G$4,"Name","Luke Turner (Ruth)","Game type",20)/GETPIVOTDATA("Sum of Wickets",$G$4,"Name","Luke Turner (Ruth)","Game type",20)</f>
        <v>6.5</v>
      </c>
      <c r="O71" t="e">
        <f>GETPIVOTDATA("Sum of Runs",$G$4,"Name","Luke Turner (Ruth)","Game type",40)/GETPIVOTDATA("Sum of Wickets",$G$4,"Name","Luke Turner (Ruth)","Game type",40)</f>
        <v>#DIV/0!</v>
      </c>
      <c r="P71">
        <f>GETPIVOTDATA("Sum of Runs",$G$4,"Name","Luke Turner (Ruth)")/GETPIVOTDATA("Sum of Wickets",$G$4,"Name","Luke Turner (Ruth)")</f>
        <v>16.5</v>
      </c>
      <c r="Q71">
        <f>GETPIVOTDATA("Sum of Runs",$G$4,"Name","Luke Turner (Ruth)","Game type",20)/GETPIVOTDATA("Sum of Overs",$G$4,"Name","Luke Turner (Ruth)","Game type",20)</f>
        <v>13</v>
      </c>
      <c r="R71">
        <f>GETPIVOTDATA("Sum of Runs",$G$4,"Name","Luke Turner (Ruth)","Game type",40)/GETPIVOTDATA("Sum of Overs",$G$4,"Name","Luke Turner (Ruth)","Game type",40)</f>
        <v>10</v>
      </c>
      <c r="S71">
        <f>GETPIVOTDATA("Sum of Runs",$G$4,"Name","Luke Turner (Ruth)")/GETPIVOTDATA("Sum of Overs",$G$4,"Name","Luke Turner (Ruth)")</f>
        <v>11</v>
      </c>
    </row>
    <row r="72" spans="1:19" ht="12.75">
      <c r="A72" s="14" t="s">
        <v>2</v>
      </c>
      <c r="B72">
        <v>20</v>
      </c>
      <c r="C72">
        <v>1</v>
      </c>
      <c r="D72">
        <v>5</v>
      </c>
      <c r="E72">
        <v>0</v>
      </c>
      <c r="G72" s="2" t="s">
        <v>23</v>
      </c>
      <c r="H72" s="2" t="s">
        <v>122</v>
      </c>
      <c r="I72" s="37"/>
      <c r="J72" s="38">
        <v>10</v>
      </c>
      <c r="K72" s="10">
        <v>10</v>
      </c>
      <c r="M72" s="14" t="s">
        <v>14</v>
      </c>
      <c r="N72" t="e">
        <f>GETPIVOTDATA("Sum of Runs",$G$4,"Name","Mark Hornsey","Game type",20)/GETPIVOTDATA("Sum of Wickets",$G$4,"Name","Mark Hornsey","Game type",20)</f>
        <v>#DIV/0!</v>
      </c>
      <c r="O72" t="s">
        <v>111</v>
      </c>
      <c r="P72" t="e">
        <f>GETPIVOTDATA("Sum of Runs",$G$4,"Name","Mark Hornsey")/GETPIVOTDATA("Sum of Wickets",$G$4,"Name","Mark Hornsey")</f>
        <v>#DIV/0!</v>
      </c>
      <c r="Q72">
        <f>GETPIVOTDATA("Sum of Runs",$G$4,"Name","Mark Hornsey","Game type",20)/GETPIVOTDATA("Sum of Overs",$G$4,"Name","Mark Hornsey","Game type",20)</f>
        <v>12.5</v>
      </c>
      <c r="R72" t="s">
        <v>111</v>
      </c>
      <c r="S72">
        <f>GETPIVOTDATA("Sum of Runs",$G$4,"Name","Mark Hornsey")/GETPIVOTDATA("Sum of Overs",$G$4,"Name","Mark Hornsey")</f>
        <v>12.5</v>
      </c>
    </row>
    <row r="73" spans="1:19" ht="12.75">
      <c r="A73" s="14" t="s">
        <v>2</v>
      </c>
      <c r="B73">
        <v>20</v>
      </c>
      <c r="C73">
        <v>4</v>
      </c>
      <c r="D73">
        <v>17</v>
      </c>
      <c r="E73">
        <v>1</v>
      </c>
      <c r="G73" s="4"/>
      <c r="H73" s="6" t="s">
        <v>43</v>
      </c>
      <c r="I73" s="39"/>
      <c r="J73" s="40">
        <v>58</v>
      </c>
      <c r="K73" s="11">
        <v>58</v>
      </c>
      <c r="M73" s="14" t="s">
        <v>119</v>
      </c>
      <c r="N73" t="s">
        <v>111</v>
      </c>
      <c r="O73">
        <f>GETPIVOTDATA("Sum of Runs",$G$4,"Name","Mike Whittlesy","Game type",40)/GETPIVOTDATA("Sum of Wickets",$G$4,"Name","Mike Whittlesy","Game type",40)</f>
        <v>23</v>
      </c>
      <c r="P73">
        <f>GETPIVOTDATA("Sum of Runs",$G$4,"Name","Mike Whittlesy")/GETPIVOTDATA("Sum of Wickets",$G$4,"Name","Mike Whittlesy")</f>
        <v>23</v>
      </c>
      <c r="Q73" t="s">
        <v>111</v>
      </c>
      <c r="R73">
        <f>GETPIVOTDATA("Sum of Runs",$G$4,"Name","Mike Whittlesy","Game type",40)/GETPIVOTDATA("Sum of Overs",$G$4,"Name","Mike Whittlesy","Game type",40)</f>
        <v>3.6315789473684212</v>
      </c>
      <c r="S73">
        <f>GETPIVOTDATA("Sum of Runs",$G$4,"Name","Mike Whittlesy")/GETPIVOTDATA("Sum of Overs",$G$4,"Name","Mike Whittlesy")</f>
        <v>3.6315789473684212</v>
      </c>
    </row>
    <row r="74" spans="1:19" ht="12.75">
      <c r="A74" s="14" t="s">
        <v>2</v>
      </c>
      <c r="B74">
        <v>40</v>
      </c>
      <c r="C74">
        <v>8</v>
      </c>
      <c r="D74">
        <v>10</v>
      </c>
      <c r="E74">
        <v>2</v>
      </c>
      <c r="G74" s="4"/>
      <c r="H74" s="6" t="s">
        <v>120</v>
      </c>
      <c r="I74" s="39"/>
      <c r="J74" s="40">
        <v>2</v>
      </c>
      <c r="K74" s="11">
        <v>2</v>
      </c>
      <c r="M74" s="14" t="s">
        <v>40</v>
      </c>
      <c r="N74" t="s">
        <v>111</v>
      </c>
      <c r="O74" t="e">
        <f>GETPIVOTDATA("Sum of Runs",$G$4,"Name","Neil Pollock","Game type",40)/GETPIVOTDATA("Sum of Wickets",$G$4,"Name","Neil Pollock","Game type",40)</f>
        <v>#DIV/0!</v>
      </c>
      <c r="P74" t="e">
        <f>GETPIVOTDATA("Sum of Runs",$G$4,"Name","Neil Pollock")/GETPIVOTDATA("Sum of Wickets",$G$4,"Name","Neil Pollock")</f>
        <v>#DIV/0!</v>
      </c>
      <c r="Q74" t="s">
        <v>111</v>
      </c>
      <c r="R74">
        <f>GETPIVOTDATA("Sum of Runs",$G$4,"Name","Neil Pollock","Game type",40)/GETPIVOTDATA("Sum of Overs",$G$4,"Name","Neil Pollock","Game type",40)</f>
        <v>2.75</v>
      </c>
      <c r="S74">
        <f>GETPIVOTDATA("Sum of Runs",$G$4,"Name","Neil Pollock")/GETPIVOTDATA("Sum of Overs",$G$4,"Name","Neil Pollock")</f>
        <v>2.75</v>
      </c>
    </row>
    <row r="75" spans="1:19" ht="12.75">
      <c r="A75" s="14" t="s">
        <v>2</v>
      </c>
      <c r="B75">
        <v>20</v>
      </c>
      <c r="C75">
        <v>4</v>
      </c>
      <c r="D75">
        <v>36</v>
      </c>
      <c r="E75">
        <v>1</v>
      </c>
      <c r="G75" s="2" t="s">
        <v>5</v>
      </c>
      <c r="H75" s="2" t="s">
        <v>122</v>
      </c>
      <c r="I75" s="37">
        <v>18</v>
      </c>
      <c r="J75" s="38">
        <v>16.4</v>
      </c>
      <c r="K75" s="10">
        <v>34.4</v>
      </c>
      <c r="M75" s="14" t="s">
        <v>33</v>
      </c>
      <c r="N75" t="s">
        <v>111</v>
      </c>
      <c r="O75">
        <f>GETPIVOTDATA("Sum of Runs",$G$4,"Name","Paul Snow","Game type",40)/GETPIVOTDATA("Sum of Wickets",$G$4,"Name","Paul Snow","Game type",40)</f>
        <v>63</v>
      </c>
      <c r="P75">
        <f>GETPIVOTDATA("Sum of Runs",$G$4,"Name","Paul Snow")/GETPIVOTDATA("Sum of Wickets",$G$4,"Name","Paul Snow")</f>
        <v>63</v>
      </c>
      <c r="Q75" t="s">
        <v>111</v>
      </c>
      <c r="R75">
        <f>GETPIVOTDATA("Sum of Runs",$G$4,"Name","Paul Snow","Game type",40)/GETPIVOTDATA("Sum of Overs",$G$4,"Name","Paul Snow","Game type",40)</f>
        <v>3.3157894736842106</v>
      </c>
      <c r="S75">
        <f>GETPIVOTDATA("Sum of Runs",$G$4,"Name","Paul Snow")/GETPIVOTDATA("Sum of Overs",$G$4,"Name","Paul Snow")</f>
        <v>3.3157894736842106</v>
      </c>
    </row>
    <row r="76" spans="1:19" ht="12.75">
      <c r="A76" s="14" t="s">
        <v>2</v>
      </c>
      <c r="B76">
        <v>40</v>
      </c>
      <c r="C76">
        <v>6</v>
      </c>
      <c r="D76">
        <v>26</v>
      </c>
      <c r="E76">
        <v>1</v>
      </c>
      <c r="G76" s="4"/>
      <c r="H76" s="6" t="s">
        <v>43</v>
      </c>
      <c r="I76" s="39">
        <v>95</v>
      </c>
      <c r="J76" s="40">
        <v>75</v>
      </c>
      <c r="K76" s="11">
        <v>170</v>
      </c>
      <c r="M76" s="14" t="s">
        <v>6</v>
      </c>
      <c r="N76" t="s">
        <v>111</v>
      </c>
      <c r="O76">
        <f>GETPIVOTDATA("Sum of Runs",$G$4,"Name","Paul Wilson","Game type",40)/GETPIVOTDATA("Sum of Wickets",$G$4,"Name","Paul Wilson","Game type",40)</f>
        <v>29</v>
      </c>
      <c r="P76">
        <f>GETPIVOTDATA("Sum of Runs",$G$4,"Name","Paul Wilson")/GETPIVOTDATA("Sum of Wickets",$G$4,"Name","Paul Wilson")</f>
        <v>29</v>
      </c>
      <c r="Q76" t="s">
        <v>111</v>
      </c>
      <c r="R76">
        <f>GETPIVOTDATA("Sum of Runs",$G$4,"Name","Paul Wilson","Game type",40)/GETPIVOTDATA("Sum of Overs",$G$4,"Name","Paul Wilson","Game type",40)</f>
        <v>3.625</v>
      </c>
      <c r="S76">
        <f>GETPIVOTDATA("Sum of Runs",$G$4,"Name","Paul Wilson")/GETPIVOTDATA("Sum of Overs",$G$4,"Name","Paul Wilson")</f>
        <v>3.625</v>
      </c>
    </row>
    <row r="77" spans="1:19" ht="12.75">
      <c r="A77" s="14" t="s">
        <v>2</v>
      </c>
      <c r="B77">
        <v>20</v>
      </c>
      <c r="C77">
        <v>4</v>
      </c>
      <c r="D77">
        <v>30</v>
      </c>
      <c r="E77">
        <v>0</v>
      </c>
      <c r="G77" s="4"/>
      <c r="H77" s="6" t="s">
        <v>120</v>
      </c>
      <c r="I77" s="39">
        <v>8</v>
      </c>
      <c r="J77" s="40">
        <v>4</v>
      </c>
      <c r="K77" s="11">
        <v>12</v>
      </c>
      <c r="M77" s="14" t="s">
        <v>12</v>
      </c>
      <c r="N77" t="e">
        <f>GETPIVOTDATA("Sum of Runs",$G$4,"Name","Rhodri Morgan","Game type",20)/GETPIVOTDATA("Sum of Wickets",$G$4,"Name","Rhodri Morgan","Game type",20)</f>
        <v>#DIV/0!</v>
      </c>
      <c r="O77">
        <f>GETPIVOTDATA("Sum of Runs",$G$4,"Name","Rhodri Morgan","Game type",40)/GETPIVOTDATA("Sum of Wickets",$G$4,"Name","Rhodri Morgan","Game type",40)</f>
        <v>35</v>
      </c>
      <c r="P77">
        <f>GETPIVOTDATA("Sum of Runs",$G$4,"Name","Rhodri Morgan")/GETPIVOTDATA("Sum of Wickets",$G$4,"Name","Rhodri Morgan")</f>
        <v>45.5</v>
      </c>
      <c r="Q77">
        <f>GETPIVOTDATA("Sum of Runs",$G$4,"Name","Rhodri Morgan","Game type",20)/GETPIVOTDATA("Sum of Overs",$G$4,"Name","Rhodri Morgan","Game type",20)</f>
        <v>7</v>
      </c>
      <c r="R77">
        <f>GETPIVOTDATA("Sum of Runs",$G$4,"Name","Rhodri Morgan","Game type",40)/GETPIVOTDATA("Sum of Overs",$G$4,"Name","Rhodri Morgan","Game type",40)</f>
        <v>4.117647058823529</v>
      </c>
      <c r="S77">
        <f>GETPIVOTDATA("Sum of Runs",$G$4,"Name","Rhodri Morgan")/GETPIVOTDATA("Sum of Overs",$G$4,"Name","Rhodri Morgan")</f>
        <v>4.55</v>
      </c>
    </row>
    <row r="78" spans="1:19" ht="12.75">
      <c r="A78" s="14" t="s">
        <v>2</v>
      </c>
      <c r="B78">
        <v>40</v>
      </c>
      <c r="C78">
        <v>3</v>
      </c>
      <c r="D78">
        <v>15</v>
      </c>
      <c r="E78">
        <v>0</v>
      </c>
      <c r="G78" s="2" t="s">
        <v>123</v>
      </c>
      <c r="H78" s="3"/>
      <c r="I78" s="37">
        <v>149.4</v>
      </c>
      <c r="J78" s="38">
        <v>376.4</v>
      </c>
      <c r="K78" s="10">
        <v>525.8</v>
      </c>
      <c r="M78" s="14" t="s">
        <v>8</v>
      </c>
      <c r="N78">
        <f>GETPIVOTDATA("Sum of Runs",$G$4,"Name","Rob Branaston (Pickles)","Game type",20)/GETPIVOTDATA("Sum of Wickets",$G$4,"Name","Rob Branaston (Pickles)","Game type",20)</f>
        <v>81</v>
      </c>
      <c r="O78">
        <f>GETPIVOTDATA("Sum of Runs",$G$4,"Name","Rob Branaston (Pickles)","Game type",40)/GETPIVOTDATA("Sum of Wickets",$G$4,"Name","Rob Branaston (Pickles)","Game type",40)</f>
        <v>33</v>
      </c>
      <c r="P78">
        <f>GETPIVOTDATA("Sum of Runs",$G$4,"Name","Rob Branaston (Pickles)")/GETPIVOTDATA("Sum of Wickets",$G$4,"Name","Rob Branaston (Pickles)")</f>
        <v>45</v>
      </c>
      <c r="Q78">
        <f>GETPIVOTDATA("Sum of Runs",$G$4,"Name","Rob Branaston (Pickles)","Game type",20)/GETPIVOTDATA("Sum of Overs",$G$4,"Name","Rob Branaston (Pickles)","Game type",20)</f>
        <v>5.785714285714286</v>
      </c>
      <c r="R78">
        <f>GETPIVOTDATA("Sum of Runs",$G$4,"Name","Rob Branaston (Pickles)","Game type",40)/GETPIVOTDATA("Sum of Overs",$G$4,"Name","Rob Branaston (Pickles)","Game type",40)</f>
        <v>4.125</v>
      </c>
      <c r="S78">
        <f>GETPIVOTDATA("Sum of Runs",$G$4,"Name","Rob Branaston (Pickles)")/GETPIVOTDATA("Sum of Overs",$G$4,"Name","Rob Branaston (Pickles)")</f>
        <v>4.7368421052631575</v>
      </c>
    </row>
    <row r="79" spans="1:19" ht="12.75">
      <c r="A79" s="14" t="s">
        <v>2</v>
      </c>
      <c r="B79">
        <v>40</v>
      </c>
      <c r="C79">
        <v>8</v>
      </c>
      <c r="D79">
        <v>36</v>
      </c>
      <c r="E79">
        <v>0</v>
      </c>
      <c r="G79" s="2" t="s">
        <v>47</v>
      </c>
      <c r="H79" s="3"/>
      <c r="I79" s="37">
        <v>913</v>
      </c>
      <c r="J79" s="38">
        <v>1497</v>
      </c>
      <c r="K79" s="10">
        <v>2410</v>
      </c>
      <c r="M79" s="14" t="s">
        <v>23</v>
      </c>
      <c r="N79" t="s">
        <v>111</v>
      </c>
      <c r="O79">
        <f>GETPIVOTDATA("Sum of Runs",$G$4,"Name","Simon Elliman","Game type",40)/GETPIVOTDATA("Sum of Wickets",$G$4,"Name","Simon Elliman","Game type",40)</f>
        <v>29</v>
      </c>
      <c r="P79">
        <f>GETPIVOTDATA("Sum of Runs",$G$4,"Name","Simon Elliman")/GETPIVOTDATA("Sum of Wickets",$G$4,"Name","Simon Elliman")</f>
        <v>29</v>
      </c>
      <c r="Q79" t="s">
        <v>111</v>
      </c>
      <c r="R79">
        <f>GETPIVOTDATA("Sum of Runs",$G$4,"Name","Simon Elliman","Game type",40)/GETPIVOTDATA("Sum of Overs",$G$4,"Name","Simon Elliman","Game type",40)</f>
        <v>5.8</v>
      </c>
      <c r="S79">
        <f>GETPIVOTDATA("Sum of Runs",$G$4,"Name","Simon Elliman")/GETPIVOTDATA("Sum of Overs",$G$4,"Name","Simon Elliman")</f>
        <v>5.8</v>
      </c>
    </row>
    <row r="80" spans="1:19" ht="12.75">
      <c r="A80" s="14" t="s">
        <v>2</v>
      </c>
      <c r="B80">
        <v>40</v>
      </c>
      <c r="C80">
        <v>5</v>
      </c>
      <c r="D80">
        <v>13</v>
      </c>
      <c r="E80">
        <v>2</v>
      </c>
      <c r="G80" s="7" t="s">
        <v>121</v>
      </c>
      <c r="H80" s="12"/>
      <c r="I80" s="41">
        <v>41</v>
      </c>
      <c r="J80" s="42">
        <v>61</v>
      </c>
      <c r="K80" s="9">
        <v>102</v>
      </c>
      <c r="M80" s="14" t="s">
        <v>5</v>
      </c>
      <c r="N80">
        <f>GETPIVOTDATA("Sum of Runs",$G$4,"Name","Tom Carney","Game type",20)/GETPIVOTDATA("Sum of Wickets",$G$4,"Name","Tom Carney","Game type",20)</f>
        <v>11.875</v>
      </c>
      <c r="O80">
        <f>GETPIVOTDATA("Sum of Runs",$G$4,"Name","Tom Carney","Game type",40)/GETPIVOTDATA("Sum of Wickets",$G$4,"Name","Tom Carney","Game type",40)</f>
        <v>18.75</v>
      </c>
      <c r="P80">
        <f>GETPIVOTDATA("Sum of Runs",$G$4,"Name","Tom Carney")/GETPIVOTDATA("Sum of Wickets",$G$4,"Name","Tom Carney")</f>
        <v>14.166666666666666</v>
      </c>
      <c r="Q80">
        <f>GETPIVOTDATA("Sum of Runs",$G$4,"Name","Tom Carney","Game type",20)/GETPIVOTDATA("Sum of Overs",$G$4,"Name","Tom Carney","Game type",20)</f>
        <v>5.277777777777778</v>
      </c>
      <c r="R80">
        <f>GETPIVOTDATA("Sum of Runs",$G$4,"Name","Tom Carney","Game type",40)/GETPIVOTDATA("Sum of Overs",$G$4,"Name","Tom Carney","Game type",40)</f>
        <v>4.573170731707317</v>
      </c>
      <c r="S80">
        <f>GETPIVOTDATA("Sum of Runs",$G$4,"Name","Tom Carney")/GETPIVOTDATA("Sum of Overs",$G$4,"Name","Tom Carney")</f>
        <v>4.941860465116279</v>
      </c>
    </row>
    <row r="81" spans="1:5" ht="12.75">
      <c r="A81" s="14" t="s">
        <v>2</v>
      </c>
      <c r="B81">
        <v>20</v>
      </c>
      <c r="C81">
        <v>4</v>
      </c>
      <c r="D81">
        <v>19</v>
      </c>
      <c r="E81">
        <v>0</v>
      </c>
    </row>
    <row r="82" spans="1:5" ht="12.75">
      <c r="A82" s="14" t="s">
        <v>2</v>
      </c>
      <c r="B82">
        <v>40</v>
      </c>
      <c r="C82">
        <v>6</v>
      </c>
      <c r="D82">
        <v>11</v>
      </c>
      <c r="E82">
        <v>1</v>
      </c>
    </row>
    <row r="83" spans="1:8" ht="12.75">
      <c r="A83" s="14" t="s">
        <v>2</v>
      </c>
      <c r="B83">
        <v>40</v>
      </c>
      <c r="C83">
        <v>2</v>
      </c>
      <c r="D83">
        <v>18</v>
      </c>
      <c r="E83">
        <v>0</v>
      </c>
      <c r="G83" s="5" t="s">
        <v>120</v>
      </c>
      <c r="H83" s="8"/>
    </row>
    <row r="84" spans="1:8" ht="12.75">
      <c r="A84" s="14" t="s">
        <v>16</v>
      </c>
      <c r="B84">
        <v>20</v>
      </c>
      <c r="C84">
        <v>3</v>
      </c>
      <c r="D84">
        <v>13</v>
      </c>
      <c r="E84">
        <v>0</v>
      </c>
      <c r="G84" s="5" t="s">
        <v>0</v>
      </c>
      <c r="H84" s="8" t="s">
        <v>42</v>
      </c>
    </row>
    <row r="85" spans="1:8" ht="12.75">
      <c r="A85" s="14" t="s">
        <v>16</v>
      </c>
      <c r="B85">
        <v>40</v>
      </c>
      <c r="C85">
        <v>3</v>
      </c>
      <c r="D85">
        <v>12</v>
      </c>
      <c r="E85">
        <v>1</v>
      </c>
      <c r="G85" s="2" t="s">
        <v>11</v>
      </c>
      <c r="H85" s="10">
        <v>11</v>
      </c>
    </row>
    <row r="86" spans="1:8" ht="12.75">
      <c r="A86" s="14" t="s">
        <v>16</v>
      </c>
      <c r="B86">
        <v>20</v>
      </c>
      <c r="C86">
        <v>1</v>
      </c>
      <c r="D86">
        <v>20</v>
      </c>
      <c r="E86">
        <v>0</v>
      </c>
      <c r="G86" s="6" t="s">
        <v>32</v>
      </c>
      <c r="H86" s="11">
        <v>3</v>
      </c>
    </row>
    <row r="87" spans="1:8" ht="12.75">
      <c r="A87" s="14" t="s">
        <v>16</v>
      </c>
      <c r="B87">
        <v>20</v>
      </c>
      <c r="C87">
        <v>1</v>
      </c>
      <c r="D87">
        <v>10</v>
      </c>
      <c r="E87">
        <v>0</v>
      </c>
      <c r="G87" s="6" t="s">
        <v>38</v>
      </c>
      <c r="H87" s="11">
        <v>4</v>
      </c>
    </row>
    <row r="88" spans="1:8" ht="12.75">
      <c r="A88" s="14" t="s">
        <v>16</v>
      </c>
      <c r="B88">
        <v>40</v>
      </c>
      <c r="C88">
        <v>3</v>
      </c>
      <c r="D88">
        <v>17</v>
      </c>
      <c r="E88">
        <v>1</v>
      </c>
      <c r="G88" s="6" t="s">
        <v>30</v>
      </c>
      <c r="H88" s="11">
        <v>15</v>
      </c>
    </row>
    <row r="89" spans="1:8" ht="12.75">
      <c r="A89" s="14" t="s">
        <v>35</v>
      </c>
      <c r="B89">
        <v>40</v>
      </c>
      <c r="C89">
        <v>3</v>
      </c>
      <c r="D89">
        <v>21</v>
      </c>
      <c r="E89">
        <v>0</v>
      </c>
      <c r="G89" s="6" t="s">
        <v>3</v>
      </c>
      <c r="H89" s="11">
        <v>0</v>
      </c>
    </row>
    <row r="90" spans="1:8" ht="12.75">
      <c r="A90" s="14" t="s">
        <v>35</v>
      </c>
      <c r="B90">
        <v>40</v>
      </c>
      <c r="C90">
        <v>4</v>
      </c>
      <c r="D90">
        <v>34</v>
      </c>
      <c r="E90">
        <v>0</v>
      </c>
      <c r="G90" s="6" t="s">
        <v>41</v>
      </c>
      <c r="H90" s="11">
        <v>2</v>
      </c>
    </row>
    <row r="91" spans="1:8" ht="12.75">
      <c r="A91" s="14" t="s">
        <v>34</v>
      </c>
      <c r="B91">
        <v>20</v>
      </c>
      <c r="C91">
        <v>3</v>
      </c>
      <c r="D91">
        <v>13</v>
      </c>
      <c r="E91">
        <v>0</v>
      </c>
      <c r="G91" s="6" t="s">
        <v>9</v>
      </c>
      <c r="H91" s="11">
        <v>9</v>
      </c>
    </row>
    <row r="92" spans="1:8" ht="12.75">
      <c r="A92" s="14" t="s">
        <v>34</v>
      </c>
      <c r="B92">
        <v>20</v>
      </c>
      <c r="C92">
        <v>3</v>
      </c>
      <c r="D92">
        <v>29</v>
      </c>
      <c r="E92">
        <v>0</v>
      </c>
      <c r="G92" s="6" t="s">
        <v>10</v>
      </c>
      <c r="H92" s="11">
        <v>0</v>
      </c>
    </row>
    <row r="93" spans="1:8" ht="12.75">
      <c r="A93" s="14" t="s">
        <v>34</v>
      </c>
      <c r="B93">
        <v>40</v>
      </c>
      <c r="C93">
        <v>3</v>
      </c>
      <c r="D93">
        <v>13</v>
      </c>
      <c r="E93">
        <v>1</v>
      </c>
      <c r="G93" s="6" t="s">
        <v>16</v>
      </c>
      <c r="H93" s="11">
        <v>2</v>
      </c>
    </row>
    <row r="94" spans="1:8" ht="12.75">
      <c r="A94" s="14" t="s">
        <v>34</v>
      </c>
      <c r="B94">
        <v>40</v>
      </c>
      <c r="C94">
        <v>2</v>
      </c>
      <c r="D94">
        <v>11</v>
      </c>
      <c r="E94">
        <v>0</v>
      </c>
      <c r="G94" s="6" t="s">
        <v>2</v>
      </c>
      <c r="H94" s="11">
        <v>11</v>
      </c>
    </row>
    <row r="95" spans="1:8" ht="12.75">
      <c r="A95" s="14" t="s">
        <v>34</v>
      </c>
      <c r="B95">
        <v>40</v>
      </c>
      <c r="C95">
        <v>3.2</v>
      </c>
      <c r="D95">
        <v>8</v>
      </c>
      <c r="E95">
        <v>2</v>
      </c>
      <c r="G95" s="6" t="s">
        <v>28</v>
      </c>
      <c r="H95" s="11">
        <v>0</v>
      </c>
    </row>
    <row r="96" spans="1:8" ht="12.75">
      <c r="A96" t="s">
        <v>33</v>
      </c>
      <c r="B96">
        <v>40</v>
      </c>
      <c r="C96">
        <v>4</v>
      </c>
      <c r="D96">
        <v>13</v>
      </c>
      <c r="E96">
        <v>0</v>
      </c>
      <c r="G96" s="6" t="s">
        <v>34</v>
      </c>
      <c r="H96" s="11">
        <v>3</v>
      </c>
    </row>
    <row r="97" spans="1:8" ht="12.75">
      <c r="A97" t="s">
        <v>33</v>
      </c>
      <c r="B97">
        <v>40</v>
      </c>
      <c r="C97">
        <v>4</v>
      </c>
      <c r="D97">
        <v>15</v>
      </c>
      <c r="E97">
        <v>0</v>
      </c>
      <c r="G97" s="6" t="s">
        <v>35</v>
      </c>
      <c r="H97" s="11">
        <v>0</v>
      </c>
    </row>
    <row r="98" spans="1:8" ht="12.75">
      <c r="A98" t="s">
        <v>33</v>
      </c>
      <c r="B98">
        <v>40</v>
      </c>
      <c r="C98">
        <v>6</v>
      </c>
      <c r="D98">
        <v>22</v>
      </c>
      <c r="E98">
        <v>0</v>
      </c>
      <c r="G98" s="6" t="s">
        <v>13</v>
      </c>
      <c r="H98" s="11">
        <v>15</v>
      </c>
    </row>
    <row r="99" spans="1:8" ht="12.75">
      <c r="A99" t="s">
        <v>33</v>
      </c>
      <c r="B99">
        <v>40</v>
      </c>
      <c r="C99">
        <v>5</v>
      </c>
      <c r="D99">
        <v>13</v>
      </c>
      <c r="E99">
        <v>1</v>
      </c>
      <c r="G99" s="6" t="s">
        <v>15</v>
      </c>
      <c r="H99" s="11">
        <v>2</v>
      </c>
    </row>
    <row r="100" spans="1:8" ht="12.75">
      <c r="A100" s="14" t="s">
        <v>12</v>
      </c>
      <c r="B100" s="13">
        <v>40</v>
      </c>
      <c r="C100">
        <v>4</v>
      </c>
      <c r="D100">
        <v>20</v>
      </c>
      <c r="E100">
        <v>0</v>
      </c>
      <c r="G100" s="6" t="s">
        <v>14</v>
      </c>
      <c r="H100" s="11">
        <v>0</v>
      </c>
    </row>
    <row r="101" spans="1:8" ht="12.75">
      <c r="A101" s="14" t="s">
        <v>12</v>
      </c>
      <c r="B101" s="14">
        <v>40</v>
      </c>
      <c r="C101">
        <v>6</v>
      </c>
      <c r="D101">
        <v>36</v>
      </c>
      <c r="E101">
        <v>2</v>
      </c>
      <c r="G101" s="6" t="s">
        <v>119</v>
      </c>
      <c r="H101" s="11">
        <v>3</v>
      </c>
    </row>
    <row r="102" spans="1:8" ht="12.75">
      <c r="A102" s="14" t="s">
        <v>12</v>
      </c>
      <c r="B102" s="14">
        <v>20</v>
      </c>
      <c r="C102">
        <v>3</v>
      </c>
      <c r="D102">
        <v>21</v>
      </c>
      <c r="E102">
        <v>0</v>
      </c>
      <c r="G102" s="6" t="s">
        <v>40</v>
      </c>
      <c r="H102" s="11">
        <v>0</v>
      </c>
    </row>
    <row r="103" spans="1:8" ht="12.75">
      <c r="A103" s="14" t="s">
        <v>12</v>
      </c>
      <c r="B103" s="14">
        <v>40</v>
      </c>
      <c r="C103">
        <v>7</v>
      </c>
      <c r="D103">
        <v>14</v>
      </c>
      <c r="E103">
        <v>0</v>
      </c>
      <c r="G103" s="6" t="s">
        <v>33</v>
      </c>
      <c r="H103" s="11">
        <v>1</v>
      </c>
    </row>
    <row r="104" spans="1:8" ht="12.75">
      <c r="A104" s="14" t="s">
        <v>119</v>
      </c>
      <c r="B104" s="14">
        <v>40</v>
      </c>
      <c r="C104">
        <v>7</v>
      </c>
      <c r="D104">
        <v>18</v>
      </c>
      <c r="E104">
        <v>1</v>
      </c>
      <c r="G104" s="6" t="s">
        <v>6</v>
      </c>
      <c r="H104" s="11">
        <v>1</v>
      </c>
    </row>
    <row r="105" spans="1:8" ht="12.75">
      <c r="A105" s="14" t="s">
        <v>119</v>
      </c>
      <c r="B105" s="14">
        <v>40</v>
      </c>
      <c r="C105">
        <v>7</v>
      </c>
      <c r="D105">
        <v>35</v>
      </c>
      <c r="E105">
        <v>0</v>
      </c>
      <c r="G105" s="6" t="s">
        <v>12</v>
      </c>
      <c r="H105" s="11">
        <v>2</v>
      </c>
    </row>
    <row r="106" spans="1:8" ht="12.75">
      <c r="A106" s="14" t="s">
        <v>119</v>
      </c>
      <c r="B106" s="14">
        <v>40</v>
      </c>
      <c r="C106">
        <v>5</v>
      </c>
      <c r="D106">
        <v>16</v>
      </c>
      <c r="E106">
        <v>2</v>
      </c>
      <c r="G106" s="6" t="s">
        <v>8</v>
      </c>
      <c r="H106" s="11">
        <v>4</v>
      </c>
    </row>
    <row r="107" spans="1:8" ht="12.75">
      <c r="A107" s="14" t="s">
        <v>14</v>
      </c>
      <c r="B107" s="14">
        <v>20</v>
      </c>
      <c r="C107">
        <v>2</v>
      </c>
      <c r="D107">
        <v>25</v>
      </c>
      <c r="E107">
        <v>0</v>
      </c>
      <c r="G107" s="6" t="s">
        <v>23</v>
      </c>
      <c r="H107" s="11">
        <v>2</v>
      </c>
    </row>
    <row r="108" spans="1:8" ht="12.75">
      <c r="A108" s="14" t="s">
        <v>11</v>
      </c>
      <c r="B108" s="14">
        <v>40</v>
      </c>
      <c r="C108">
        <v>8</v>
      </c>
      <c r="D108">
        <v>22</v>
      </c>
      <c r="E108">
        <v>2</v>
      </c>
      <c r="G108" s="6" t="s">
        <v>5</v>
      </c>
      <c r="H108" s="11">
        <v>12</v>
      </c>
    </row>
    <row r="109" spans="1:8" ht="12.75">
      <c r="A109" s="14" t="s">
        <v>11</v>
      </c>
      <c r="B109" s="14">
        <v>20</v>
      </c>
      <c r="C109">
        <v>1</v>
      </c>
      <c r="D109">
        <v>22</v>
      </c>
      <c r="E109">
        <v>0</v>
      </c>
      <c r="G109" s="7" t="s">
        <v>124</v>
      </c>
      <c r="H109" s="9">
        <v>102</v>
      </c>
    </row>
    <row r="110" spans="1:5" ht="12.75">
      <c r="A110" s="14" t="s">
        <v>11</v>
      </c>
      <c r="B110" s="14">
        <v>40</v>
      </c>
      <c r="C110">
        <v>3</v>
      </c>
      <c r="D110">
        <v>30</v>
      </c>
      <c r="E110">
        <v>1</v>
      </c>
    </row>
    <row r="111" spans="1:5" ht="12.75">
      <c r="A111" s="14" t="s">
        <v>11</v>
      </c>
      <c r="B111" s="14">
        <v>20</v>
      </c>
      <c r="C111">
        <v>2</v>
      </c>
      <c r="D111">
        <v>24</v>
      </c>
      <c r="E111">
        <v>0</v>
      </c>
    </row>
    <row r="112" spans="1:5" ht="12.75">
      <c r="A112" s="14" t="s">
        <v>11</v>
      </c>
      <c r="B112" s="14">
        <v>20</v>
      </c>
      <c r="C112">
        <v>3</v>
      </c>
      <c r="D112">
        <v>11</v>
      </c>
      <c r="E112">
        <v>2</v>
      </c>
    </row>
    <row r="113" spans="1:5" ht="12.75">
      <c r="A113" s="14" t="s">
        <v>11</v>
      </c>
      <c r="B113" s="14">
        <v>20</v>
      </c>
      <c r="C113">
        <v>2</v>
      </c>
      <c r="D113">
        <v>10</v>
      </c>
      <c r="E113">
        <v>1</v>
      </c>
    </row>
    <row r="114" spans="1:5" ht="12.75">
      <c r="A114" s="14" t="s">
        <v>11</v>
      </c>
      <c r="B114" s="14">
        <v>40</v>
      </c>
      <c r="C114">
        <v>5</v>
      </c>
      <c r="D114">
        <v>17</v>
      </c>
      <c r="E114">
        <v>2</v>
      </c>
    </row>
    <row r="115" spans="1:5" ht="12.75">
      <c r="A115" s="14" t="s">
        <v>11</v>
      </c>
      <c r="B115" s="14">
        <v>20</v>
      </c>
      <c r="C115">
        <v>3</v>
      </c>
      <c r="D115">
        <v>26</v>
      </c>
      <c r="E115">
        <v>0</v>
      </c>
    </row>
    <row r="116" spans="1:5" ht="12.75">
      <c r="A116" s="14" t="s">
        <v>11</v>
      </c>
      <c r="B116" s="14">
        <v>40</v>
      </c>
      <c r="C116">
        <v>3</v>
      </c>
      <c r="D116">
        <v>20</v>
      </c>
      <c r="E116">
        <v>0</v>
      </c>
    </row>
    <row r="117" spans="1:5" ht="12.75">
      <c r="A117" s="14" t="s">
        <v>11</v>
      </c>
      <c r="B117" s="14">
        <v>40</v>
      </c>
      <c r="C117">
        <v>3.3</v>
      </c>
      <c r="D117">
        <v>7</v>
      </c>
      <c r="E117">
        <v>1</v>
      </c>
    </row>
    <row r="118" spans="1:5" ht="12.75">
      <c r="A118" s="14" t="s">
        <v>11</v>
      </c>
      <c r="B118" s="14">
        <v>20</v>
      </c>
      <c r="C118">
        <v>4</v>
      </c>
      <c r="D118">
        <v>16</v>
      </c>
      <c r="E118">
        <v>2</v>
      </c>
    </row>
    <row r="119" spans="1:5" ht="12.75">
      <c r="A119" s="14" t="s">
        <v>10</v>
      </c>
      <c r="B119" s="14">
        <v>20</v>
      </c>
      <c r="C119">
        <v>3</v>
      </c>
      <c r="D119">
        <v>26</v>
      </c>
      <c r="E119">
        <v>0</v>
      </c>
    </row>
    <row r="120" spans="1:5" ht="12.75">
      <c r="A120" s="14" t="s">
        <v>15</v>
      </c>
      <c r="B120" s="14">
        <v>20</v>
      </c>
      <c r="C120">
        <v>1</v>
      </c>
      <c r="D120">
        <v>13</v>
      </c>
      <c r="E120">
        <v>2</v>
      </c>
    </row>
    <row r="121" spans="1:5" ht="12.75">
      <c r="A121" s="14" t="s">
        <v>15</v>
      </c>
      <c r="B121" s="14">
        <v>40</v>
      </c>
      <c r="C121">
        <v>2</v>
      </c>
      <c r="D121">
        <v>20</v>
      </c>
      <c r="E121">
        <v>0</v>
      </c>
    </row>
    <row r="122" spans="1:5" ht="12.75">
      <c r="A122" s="14" t="s">
        <v>6</v>
      </c>
      <c r="B122" s="14">
        <v>40</v>
      </c>
      <c r="C122">
        <v>8</v>
      </c>
      <c r="D122">
        <v>29</v>
      </c>
      <c r="E122">
        <v>1</v>
      </c>
    </row>
    <row r="123" spans="1:5" ht="12.75">
      <c r="A123" s="14" t="s">
        <v>41</v>
      </c>
      <c r="B123" s="14">
        <v>40</v>
      </c>
      <c r="C123">
        <v>6</v>
      </c>
      <c r="D123">
        <v>11</v>
      </c>
      <c r="E123">
        <v>2</v>
      </c>
    </row>
    <row r="124" spans="1:5" ht="12.75">
      <c r="A124" s="14" t="s">
        <v>3</v>
      </c>
      <c r="B124" s="14">
        <v>40</v>
      </c>
      <c r="C124">
        <v>7</v>
      </c>
      <c r="D124">
        <v>23</v>
      </c>
      <c r="E124">
        <v>0</v>
      </c>
    </row>
    <row r="125" spans="1:5" ht="12.75">
      <c r="A125" s="14" t="s">
        <v>3</v>
      </c>
      <c r="B125" s="14">
        <v>40</v>
      </c>
      <c r="C125">
        <v>3</v>
      </c>
      <c r="D125">
        <v>18</v>
      </c>
      <c r="E125">
        <v>0</v>
      </c>
    </row>
    <row r="126" spans="1:5" ht="12.75">
      <c r="A126" t="s">
        <v>40</v>
      </c>
      <c r="B126" s="14">
        <v>40</v>
      </c>
      <c r="C126">
        <v>4</v>
      </c>
      <c r="D126">
        <v>11</v>
      </c>
      <c r="E126">
        <v>0</v>
      </c>
    </row>
    <row r="127" spans="1:5" ht="12.75">
      <c r="A127" s="14" t="s">
        <v>38</v>
      </c>
      <c r="B127" s="14">
        <v>40</v>
      </c>
      <c r="C127">
        <v>4</v>
      </c>
      <c r="D127">
        <v>7</v>
      </c>
      <c r="E127">
        <v>4</v>
      </c>
    </row>
    <row r="128" spans="1:5" ht="12.75">
      <c r="A128" s="14" t="s">
        <v>32</v>
      </c>
      <c r="B128" s="14">
        <v>20</v>
      </c>
      <c r="C128">
        <v>1.4</v>
      </c>
      <c r="D128">
        <v>11</v>
      </c>
      <c r="E128">
        <v>3</v>
      </c>
    </row>
    <row r="129" spans="1:5" ht="12.75">
      <c r="A129" s="14" t="s">
        <v>32</v>
      </c>
      <c r="B129" s="14">
        <v>20</v>
      </c>
      <c r="C129">
        <v>2</v>
      </c>
      <c r="D129">
        <v>26</v>
      </c>
      <c r="E129">
        <v>0</v>
      </c>
    </row>
    <row r="130" spans="1:5" ht="12.75">
      <c r="A130" s="14" t="s">
        <v>32</v>
      </c>
      <c r="B130" s="14">
        <v>40</v>
      </c>
      <c r="C130">
        <v>1</v>
      </c>
      <c r="D130">
        <v>5</v>
      </c>
      <c r="E130">
        <v>0</v>
      </c>
    </row>
    <row r="134" ht="12.75">
      <c r="A134" s="14"/>
    </row>
    <row r="139" ht="12.75">
      <c r="A139" s="14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mapdpl</dc:creator>
  <cp:keywords/>
  <dc:description/>
  <cp:lastModifiedBy>mapdpl</cp:lastModifiedBy>
  <cp:lastPrinted>2004-08-27T15:32:58Z</cp:lastPrinted>
  <dcterms:created xsi:type="dcterms:W3CDTF">2004-08-26T16:28:03Z</dcterms:created>
  <dcterms:modified xsi:type="dcterms:W3CDTF">2004-09-01T09:23:05Z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721739148</vt:i4>
  </property>
  <property fmtid="{D5CDD505-2E9C-101B-9397-08002B2CF9AE}" pid="4" name="_EmailSubje">
    <vt:lpwstr>Squash</vt:lpwstr>
  </property>
  <property fmtid="{D5CDD505-2E9C-101B-9397-08002B2CF9AE}" pid="5" name="_AuthorEma">
    <vt:lpwstr>mapdpl@bath.ac.uk</vt:lpwstr>
  </property>
  <property fmtid="{D5CDD505-2E9C-101B-9397-08002B2CF9AE}" pid="6" name="_AuthorEmailDisplayNa">
    <vt:lpwstr>Duncan Lee</vt:lpwstr>
  </property>
</Properties>
</file>