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myfiles\adssp\dos\"/>
    </mc:Choice>
  </mc:AlternateContent>
  <xr:revisionPtr revIDLastSave="0" documentId="8_{C16D45B2-FC8F-45D2-9952-01284117C499}" xr6:coauthVersionLast="47" xr6:coauthVersionMax="47" xr10:uidLastSave="{00000000-0000-0000-0000-000000000000}"/>
  <bookViews>
    <workbookView xWindow="-120" yWindow="-120" windowWidth="29040" windowHeight="15840" tabRatio="729" activeTab="3" xr2:uid="{00000000-000D-0000-FFFF-FFFF00000000}"/>
  </bookViews>
  <sheets>
    <sheet name="Monthly Salary" sheetId="1" r:id="rId1"/>
    <sheet name="Annual Salary" sheetId="2" r:id="rId2"/>
    <sheet name="Pro Rata Salary" sheetId="3" r:id="rId3"/>
    <sheet name="Casual Cost" sheetId="5" r:id="rId4"/>
    <sheet name="Part-Time Teaching Fellows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0" i="5" l="1"/>
  <c r="H10" i="6"/>
  <c r="E10" i="6"/>
  <c r="G16" i="1"/>
  <c r="G16" i="2"/>
  <c r="C20" i="1"/>
  <c r="B19" i="2"/>
  <c r="C19" i="2" s="1"/>
  <c r="C20" i="2"/>
  <c r="B37" i="2"/>
  <c r="C37" i="2" s="1"/>
  <c r="B37" i="1"/>
  <c r="C37" i="1" s="1"/>
  <c r="B19" i="1"/>
  <c r="F16" i="1" s="1"/>
  <c r="I16" i="2"/>
  <c r="I16" i="1"/>
  <c r="B38" i="1"/>
  <c r="C38" i="1" s="1"/>
  <c r="H16" i="2"/>
  <c r="H16" i="1"/>
  <c r="F34" i="1" l="1"/>
  <c r="F34" i="2"/>
  <c r="F16" i="2"/>
  <c r="C19" i="1"/>
  <c r="B38" i="2"/>
  <c r="C38" i="2" s="1"/>
  <c r="B20" i="1"/>
  <c r="B20" i="2"/>
  <c r="B39" i="1" l="1"/>
  <c r="B39" i="2"/>
  <c r="C39" i="2" l="1"/>
  <c r="C40" i="2" s="1"/>
  <c r="C39" i="1"/>
  <c r="C40" i="1" s="1"/>
  <c r="D10" i="6"/>
  <c r="D10" i="5"/>
  <c r="E10" i="5" s="1"/>
  <c r="F10" i="3"/>
  <c r="I10" i="3" s="1"/>
  <c r="K10" i="3" s="1"/>
  <c r="C10" i="3"/>
  <c r="F10" i="6" l="1"/>
  <c r="B21" i="1"/>
  <c r="C21" i="1" s="1"/>
  <c r="B21" i="2"/>
  <c r="C21" i="2" s="1"/>
  <c r="F10" i="5"/>
  <c r="G10" i="6" l="1"/>
  <c r="I10" i="6" s="1"/>
  <c r="G10" i="5"/>
  <c r="E40" i="2"/>
  <c r="E34" i="2" s="1"/>
  <c r="I34" i="2" s="1"/>
  <c r="C22" i="2"/>
  <c r="E22" i="2" s="1"/>
  <c r="E16" i="2" s="1"/>
  <c r="C22" i="1"/>
  <c r="E22" i="1" s="1"/>
  <c r="E16" i="1" s="1"/>
  <c r="E40" i="1"/>
  <c r="E34" i="1" s="1"/>
  <c r="I34" i="1" s="1"/>
  <c r="I10" i="5" l="1"/>
  <c r="K16" i="2"/>
  <c r="M16" i="2"/>
  <c r="L16" i="2"/>
  <c r="K16" i="1"/>
  <c r="N16" i="1"/>
  <c r="L16" i="1"/>
</calcChain>
</file>

<file path=xl/sharedStrings.xml><?xml version="1.0" encoding="utf-8"?>
<sst xmlns="http://schemas.openxmlformats.org/spreadsheetml/2006/main" count="132" uniqueCount="51">
  <si>
    <t xml:space="preserve">LGPS </t>
  </si>
  <si>
    <t>USS</t>
  </si>
  <si>
    <t>pension</t>
  </si>
  <si>
    <t>monthly</t>
  </si>
  <si>
    <t>employers</t>
  </si>
  <si>
    <t>national insurance</t>
  </si>
  <si>
    <t>Grades</t>
  </si>
  <si>
    <t>1-5</t>
  </si>
  <si>
    <t>6 and above</t>
  </si>
  <si>
    <t>Total on-cost</t>
  </si>
  <si>
    <t>per month</t>
  </si>
  <si>
    <t>Annual</t>
  </si>
  <si>
    <t>per annum</t>
  </si>
  <si>
    <t>per annual</t>
  </si>
  <si>
    <t>Annual Salary</t>
  </si>
  <si>
    <t>monthly salary</t>
  </si>
  <si>
    <t>weeks</t>
  </si>
  <si>
    <t>ft hours</t>
  </si>
  <si>
    <t xml:space="preserve">hours </t>
  </si>
  <si>
    <t>worked</t>
  </si>
  <si>
    <t>Pro-rata</t>
  </si>
  <si>
    <t>Hourly</t>
  </si>
  <si>
    <t>rate</t>
  </si>
  <si>
    <t>Full-time equ</t>
  </si>
  <si>
    <t>Enter the monthly salary in either B12 if an employee is in the pension scheme or B30 if they are not.</t>
  </si>
  <si>
    <t>The appropriate employers national insurance and pension contribution will be calculated for an approx monthly costed figure</t>
  </si>
  <si>
    <t>Enter the annual salary in either B12 if an employee is in the pension scheme or B30 if they are not.</t>
  </si>
  <si>
    <t>The appropriate employers national insurance and pension contribution will be calculated for an approx annual costed figure</t>
  </si>
  <si>
    <t>Enter annual basic salary</t>
  </si>
  <si>
    <t>Enter monthly basic salary</t>
  </si>
  <si>
    <t>monthly basic salary</t>
  </si>
  <si>
    <t>basic annual salary</t>
  </si>
  <si>
    <t>If employee isn’t in a pension scheme</t>
  </si>
  <si>
    <t>If employee is in a pension scheme</t>
  </si>
  <si>
    <t>This spreadsheet allows you to calculate the hourly rate or pro -rata annual and monthly salary for an employee</t>
  </si>
  <si>
    <r>
      <t xml:space="preserve">The only boxes you need to update are cloured </t>
    </r>
    <r>
      <rPr>
        <sz val="10"/>
        <color indexed="10"/>
        <rFont val="Arial"/>
        <family val="2"/>
      </rPr>
      <t xml:space="preserve">RED </t>
    </r>
  </si>
  <si>
    <r>
      <t xml:space="preserve">Your results will appear in </t>
    </r>
    <r>
      <rPr>
        <sz val="10"/>
        <color indexed="12"/>
        <rFont val="Arial"/>
        <family val="2"/>
      </rPr>
      <t>BLUE</t>
    </r>
  </si>
  <si>
    <t>This spreadsheet allows you to calculate the cost for an hourly paid employee</t>
  </si>
  <si>
    <t>Houly rate</t>
  </si>
  <si>
    <t xml:space="preserve">Holiday pay </t>
  </si>
  <si>
    <t>gross</t>
  </si>
  <si>
    <t>Ers NI</t>
  </si>
  <si>
    <t>Total cost</t>
  </si>
  <si>
    <t>Total gross</t>
  </si>
  <si>
    <t>Holiday pay is calculate on the gross payment. Ie</t>
  </si>
  <si>
    <t>(hourly rate X hours worked)</t>
  </si>
  <si>
    <t>hours paid</t>
  </si>
  <si>
    <t>LGPS</t>
  </si>
  <si>
    <t>UoBGPP (Default)</t>
  </si>
  <si>
    <t>UoBGPP</t>
  </si>
  <si>
    <t>App levy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</si>
</sst>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0.0000%"/>
  </numFmts>
  <fonts count="11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b/>
      <i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2" fontId="0" fillId="0" borderId="0" xfId="0" applyNumberFormat="1"/>
    <xf numFmtId="0" fontId="0" fillId="0" borderId="0" xfId="0" quotePrefix="1"/>
    <xf numFmtId="2" fontId="1" fillId="0" borderId="0" xfId="0" applyNumberFormat="1" applyFont="1"/>
    <xf numFmtId="0" fontId="3" fillId="0" borderId="0" xfId="0" applyFont="1"/>
    <xf numFmtId="2" fontId="3" fillId="0" borderId="0" xfId="0" applyNumberFormat="1" applyFont="1"/>
    <xf numFmtId="0" fontId="1" fillId="0" borderId="0" xfId="0" applyFont="1"/>
    <xf numFmtId="2" fontId="3" fillId="0" borderId="0" xfId="0" quotePrefix="1" applyNumberFormat="1" applyFont="1"/>
    <xf numFmtId="0" fontId="0" fillId="0" borderId="0" xfId="0" applyBorder="1"/>
    <xf numFmtId="0" fontId="0" fillId="0" borderId="0" xfId="0" applyBorder="1" applyAlignment="1">
      <alignment horizontal="center"/>
    </xf>
    <xf numFmtId="2" fontId="4" fillId="0" borderId="0" xfId="0" applyNumberFormat="1" applyFont="1"/>
    <xf numFmtId="0" fontId="4" fillId="0" borderId="0" xfId="0" applyFont="1"/>
    <xf numFmtId="2" fontId="4" fillId="0" borderId="0" xfId="0" quotePrefix="1" applyNumberFormat="1" applyFont="1"/>
    <xf numFmtId="3" fontId="0" fillId="0" borderId="0" xfId="0" applyNumberFormat="1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Border="1"/>
    <xf numFmtId="0" fontId="3" fillId="0" borderId="0" xfId="0" applyFont="1" applyBorder="1" applyAlignment="1">
      <alignment wrapText="1"/>
    </xf>
    <xf numFmtId="164" fontId="7" fillId="0" borderId="1" xfId="0" applyNumberFormat="1" applyFont="1" applyBorder="1"/>
    <xf numFmtId="164" fontId="7" fillId="0" borderId="1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2" fontId="9" fillId="0" borderId="1" xfId="0" applyNumberFormat="1" applyFont="1" applyBorder="1"/>
    <xf numFmtId="3" fontId="8" fillId="0" borderId="1" xfId="0" applyNumberFormat="1" applyFont="1" applyBorder="1"/>
    <xf numFmtId="0" fontId="7" fillId="0" borderId="1" xfId="0" applyFont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3" fontId="8" fillId="0" borderId="2" xfId="0" applyNumberFormat="1" applyFont="1" applyBorder="1" applyAlignment="1">
      <alignment horizontal="center"/>
    </xf>
    <xf numFmtId="3" fontId="8" fillId="0" borderId="3" xfId="0" applyNumberFormat="1" applyFont="1" applyBorder="1" applyAlignment="1">
      <alignment horizontal="center"/>
    </xf>
    <xf numFmtId="165" fontId="3" fillId="0" borderId="0" xfId="0" applyNumberFormat="1" applyFont="1" applyAlignment="1">
      <alignment wrapText="1"/>
    </xf>
    <xf numFmtId="164" fontId="9" fillId="0" borderId="1" xfId="0" applyNumberFormat="1" applyFont="1" applyBorder="1" applyAlignment="1">
      <alignment horizontal="center"/>
    </xf>
    <xf numFmtId="10" fontId="3" fillId="0" borderId="0" xfId="0" applyNumberFormat="1" applyFont="1" applyAlignment="1">
      <alignment wrapText="1"/>
    </xf>
    <xf numFmtId="164" fontId="10" fillId="0" borderId="0" xfId="0" applyNumberFormat="1" applyFont="1"/>
    <xf numFmtId="164" fontId="6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4"/>
  <sheetViews>
    <sheetView topLeftCell="A7" workbookViewId="0">
      <selection activeCell="E53" sqref="E53"/>
    </sheetView>
  </sheetViews>
  <sheetFormatPr defaultRowHeight="12.75" x14ac:dyDescent="0.2"/>
  <cols>
    <col min="1" max="1" width="15.42578125" customWidth="1"/>
    <col min="2" max="2" width="11.140625" style="1" bestFit="1" customWidth="1"/>
    <col min="3" max="4" width="9.140625" style="1"/>
    <col min="5" max="6" width="18.42578125" customWidth="1"/>
    <col min="7" max="7" width="9.140625" style="1"/>
    <col min="8" max="8" width="17" style="1" bestFit="1" customWidth="1"/>
    <col min="9" max="9" width="17.140625" customWidth="1"/>
    <col min="11" max="12" width="15" customWidth="1"/>
    <col min="14" max="14" width="14.5703125" customWidth="1"/>
  </cols>
  <sheetData>
    <row r="1" spans="1:14" ht="14.25" x14ac:dyDescent="0.2">
      <c r="A1" s="11"/>
      <c r="B1" s="12"/>
    </row>
    <row r="2" spans="1:14" ht="14.25" x14ac:dyDescent="0.2">
      <c r="D2" s="10" t="s">
        <v>24</v>
      </c>
      <c r="E2" s="11"/>
      <c r="F2" s="11"/>
      <c r="G2" s="10"/>
      <c r="H2" s="10"/>
      <c r="I2" s="11"/>
      <c r="J2" s="11"/>
      <c r="K2" s="11"/>
      <c r="L2" s="11"/>
      <c r="M2" s="11"/>
      <c r="N2" s="11"/>
    </row>
    <row r="3" spans="1:14" ht="14.25" x14ac:dyDescent="0.2">
      <c r="D3" s="10"/>
      <c r="E3" s="11"/>
      <c r="F3" s="11"/>
      <c r="G3" s="10"/>
      <c r="H3" s="10"/>
      <c r="I3" s="11"/>
      <c r="J3" s="11"/>
      <c r="K3" s="11"/>
      <c r="L3" s="11"/>
      <c r="M3" s="11"/>
      <c r="N3" s="11"/>
    </row>
    <row r="4" spans="1:14" ht="14.25" x14ac:dyDescent="0.2">
      <c r="A4" s="2"/>
      <c r="D4" s="10" t="s">
        <v>25</v>
      </c>
      <c r="E4" s="11"/>
      <c r="F4" s="11"/>
      <c r="G4" s="10"/>
      <c r="H4" s="10"/>
      <c r="I4" s="11"/>
      <c r="J4" s="11"/>
      <c r="K4" s="11"/>
      <c r="L4" s="11"/>
      <c r="M4" s="11"/>
      <c r="N4" s="11"/>
    </row>
    <row r="5" spans="1:14" ht="14.25" x14ac:dyDescent="0.2">
      <c r="A5" s="2"/>
      <c r="D5" s="10"/>
      <c r="E5" s="11"/>
      <c r="F5" s="11"/>
      <c r="G5" s="10"/>
      <c r="H5" s="10"/>
      <c r="I5" s="11"/>
      <c r="J5" s="11"/>
      <c r="K5" s="11"/>
      <c r="L5" s="11"/>
      <c r="M5" s="11"/>
      <c r="N5" s="11"/>
    </row>
    <row r="6" spans="1:14" ht="14.25" x14ac:dyDescent="0.2">
      <c r="A6" t="s">
        <v>35</v>
      </c>
      <c r="D6" s="10"/>
      <c r="E6" s="11"/>
      <c r="F6" s="11"/>
      <c r="G6" s="10"/>
      <c r="H6" s="10"/>
      <c r="I6" s="11"/>
      <c r="J6" s="11"/>
      <c r="K6" s="11"/>
      <c r="L6" s="11"/>
      <c r="M6" s="11"/>
      <c r="N6" s="11"/>
    </row>
    <row r="7" spans="1:14" ht="14.25" x14ac:dyDescent="0.2">
      <c r="A7" t="s">
        <v>36</v>
      </c>
      <c r="D7" s="10"/>
      <c r="E7" s="11"/>
      <c r="F7" s="11"/>
    </row>
    <row r="8" spans="1:14" x14ac:dyDescent="0.2">
      <c r="A8" s="2"/>
    </row>
    <row r="9" spans="1:14" x14ac:dyDescent="0.2">
      <c r="A9" s="4" t="s">
        <v>33</v>
      </c>
      <c r="B9" s="5"/>
      <c r="C9" s="5"/>
      <c r="D9" s="5"/>
    </row>
    <row r="10" spans="1:14" x14ac:dyDescent="0.2">
      <c r="A10" s="2"/>
      <c r="G10" s="5" t="s">
        <v>6</v>
      </c>
      <c r="H10" s="5" t="s">
        <v>6</v>
      </c>
      <c r="I10" s="4" t="s">
        <v>6</v>
      </c>
      <c r="J10" s="4"/>
      <c r="K10" s="5" t="s">
        <v>6</v>
      </c>
      <c r="L10" s="5" t="s">
        <v>6</v>
      </c>
      <c r="M10" s="4"/>
      <c r="N10" s="4" t="s">
        <v>6</v>
      </c>
    </row>
    <row r="11" spans="1:14" x14ac:dyDescent="0.2">
      <c r="A11" s="4" t="s">
        <v>29</v>
      </c>
      <c r="G11" s="7" t="s">
        <v>7</v>
      </c>
      <c r="H11" s="7" t="s">
        <v>7</v>
      </c>
      <c r="I11" s="4" t="s">
        <v>8</v>
      </c>
      <c r="J11" s="4"/>
      <c r="K11" s="7" t="s">
        <v>7</v>
      </c>
      <c r="L11" s="7" t="s">
        <v>7</v>
      </c>
      <c r="M11" s="4"/>
      <c r="N11" s="4" t="s">
        <v>8</v>
      </c>
    </row>
    <row r="12" spans="1:14" x14ac:dyDescent="0.2">
      <c r="A12" s="2"/>
      <c r="E12" s="4" t="s">
        <v>4</v>
      </c>
      <c r="F12" s="4" t="s">
        <v>50</v>
      </c>
      <c r="G12" s="5"/>
      <c r="H12" s="5"/>
      <c r="I12" s="4"/>
      <c r="J12" s="4"/>
      <c r="K12" s="4" t="s">
        <v>47</v>
      </c>
      <c r="L12" s="4" t="s">
        <v>48</v>
      </c>
      <c r="M12" s="4"/>
      <c r="N12" s="4"/>
    </row>
    <row r="13" spans="1:14" x14ac:dyDescent="0.2">
      <c r="E13" s="4" t="s">
        <v>5</v>
      </c>
      <c r="F13" s="4"/>
      <c r="G13" s="5" t="s">
        <v>0</v>
      </c>
      <c r="H13" s="5" t="s">
        <v>48</v>
      </c>
      <c r="I13" s="4" t="s">
        <v>1</v>
      </c>
      <c r="J13" s="4"/>
      <c r="K13" s="4" t="s">
        <v>9</v>
      </c>
      <c r="L13" s="4" t="s">
        <v>9</v>
      </c>
      <c r="M13" s="4"/>
      <c r="N13" s="4" t="s">
        <v>9</v>
      </c>
    </row>
    <row r="14" spans="1:14" x14ac:dyDescent="0.2">
      <c r="G14" s="5" t="s">
        <v>2</v>
      </c>
      <c r="H14" s="5" t="s">
        <v>2</v>
      </c>
      <c r="I14" s="4" t="s">
        <v>2</v>
      </c>
      <c r="J14" s="4"/>
      <c r="K14" s="4" t="s">
        <v>10</v>
      </c>
      <c r="L14" s="4" t="s">
        <v>10</v>
      </c>
      <c r="M14" s="4"/>
      <c r="N14" s="4" t="s">
        <v>10</v>
      </c>
    </row>
    <row r="15" spans="1:14" x14ac:dyDescent="0.2">
      <c r="G15" s="5"/>
      <c r="H15" s="5"/>
      <c r="I15" s="4"/>
      <c r="J15" s="4"/>
      <c r="K15" s="4"/>
      <c r="L15" s="4"/>
      <c r="M15" s="4"/>
      <c r="N15" s="4"/>
    </row>
    <row r="16" spans="1:14" x14ac:dyDescent="0.2">
      <c r="A16" t="s">
        <v>3</v>
      </c>
      <c r="B16" s="18">
        <v>1895.25</v>
      </c>
      <c r="E16" s="22">
        <f>E22</f>
        <v>221.73749999999998</v>
      </c>
      <c r="F16" s="22">
        <f>B19*0.005*-1</f>
        <v>7.3912500000000003</v>
      </c>
      <c r="G16" s="22">
        <f>B16*0.22</f>
        <v>416.95499999999998</v>
      </c>
      <c r="H16" s="22">
        <f>B16*0.08</f>
        <v>151.62</v>
      </c>
      <c r="I16" s="22">
        <f>B16*0.145</f>
        <v>274.81124999999997</v>
      </c>
      <c r="K16" s="23">
        <f>B16+E16+G16+F16</f>
        <v>2541.3337500000002</v>
      </c>
      <c r="L16" s="23">
        <f>B16+E16+H16+F16</f>
        <v>2275.9987500000002</v>
      </c>
      <c r="M16" s="13"/>
      <c r="N16" s="23">
        <f>B16+E16+I16+F16</f>
        <v>2399.19</v>
      </c>
    </row>
    <row r="17" spans="1:9" hidden="1" x14ac:dyDescent="0.2">
      <c r="B17" s="1">
        <v>0</v>
      </c>
      <c r="E17" s="3"/>
      <c r="F17" s="3"/>
    </row>
    <row r="18" spans="1:9" hidden="1" x14ac:dyDescent="0.2">
      <c r="B18" s="1">
        <v>-417</v>
      </c>
    </row>
    <row r="19" spans="1:9" hidden="1" x14ac:dyDescent="0.2">
      <c r="B19" s="1">
        <f>-IF(B16&lt;=4189,B16+B17+B18,3772)</f>
        <v>-1478.25</v>
      </c>
      <c r="C19" s="1">
        <f>-B19*0.15</f>
        <v>221.73749999999998</v>
      </c>
    </row>
    <row r="20" spans="1:9" hidden="1" x14ac:dyDescent="0.2">
      <c r="B20" s="1">
        <f>-IF(B16&gt;=4189,B16-4189,0)</f>
        <v>0</v>
      </c>
      <c r="C20" s="1">
        <f>B20*0.1505*-1</f>
        <v>0</v>
      </c>
    </row>
    <row r="21" spans="1:9" hidden="1" x14ac:dyDescent="0.2">
      <c r="B21" s="1">
        <f>SUM(B16:B20)</f>
        <v>0</v>
      </c>
      <c r="C21" s="1">
        <f>(B21*0.1505)*-1</f>
        <v>0</v>
      </c>
    </row>
    <row r="22" spans="1:9" hidden="1" x14ac:dyDescent="0.2">
      <c r="C22" s="1">
        <f>SUM(C19:C21)</f>
        <v>221.73749999999998</v>
      </c>
      <c r="E22" s="1">
        <f>SUM(C22:D22)</f>
        <v>221.73749999999998</v>
      </c>
      <c r="F22" s="1"/>
    </row>
    <row r="23" spans="1:9" hidden="1" x14ac:dyDescent="0.2"/>
    <row r="29" spans="1:9" x14ac:dyDescent="0.2">
      <c r="A29" s="4" t="s">
        <v>32</v>
      </c>
      <c r="B29" s="5"/>
      <c r="C29" s="5"/>
      <c r="D29" s="5"/>
    </row>
    <row r="30" spans="1:9" x14ac:dyDescent="0.2">
      <c r="A30" s="4" t="s">
        <v>29</v>
      </c>
      <c r="B30" s="5"/>
      <c r="C30" s="5"/>
      <c r="D30" s="5"/>
    </row>
    <row r="31" spans="1:9" x14ac:dyDescent="0.2">
      <c r="E31" s="4" t="s">
        <v>4</v>
      </c>
      <c r="F31" s="4" t="s">
        <v>50</v>
      </c>
      <c r="I31" s="4" t="s">
        <v>9</v>
      </c>
    </row>
    <row r="32" spans="1:9" x14ac:dyDescent="0.2">
      <c r="E32" s="4" t="s">
        <v>5</v>
      </c>
      <c r="I32" s="4" t="s">
        <v>10</v>
      </c>
    </row>
    <row r="33" spans="1:9" x14ac:dyDescent="0.2">
      <c r="E33" s="4"/>
      <c r="I33" s="4"/>
    </row>
    <row r="34" spans="1:9" x14ac:dyDescent="0.2">
      <c r="A34" t="s">
        <v>3</v>
      </c>
      <c r="B34" s="18">
        <v>1959.63</v>
      </c>
      <c r="E34" s="22">
        <f>E40</f>
        <v>231.39449999999999</v>
      </c>
      <c r="F34" s="22">
        <f>B37*0.005*-1</f>
        <v>7.7131500000000006</v>
      </c>
      <c r="I34" s="23">
        <f>B34+E34+F34</f>
        <v>2198.73765</v>
      </c>
    </row>
    <row r="35" spans="1:9" hidden="1" x14ac:dyDescent="0.2">
      <c r="B35" s="1">
        <v>0</v>
      </c>
      <c r="E35" s="3"/>
    </row>
    <row r="36" spans="1:9" hidden="1" x14ac:dyDescent="0.2">
      <c r="B36" s="1">
        <v>-417</v>
      </c>
    </row>
    <row r="37" spans="1:9" hidden="1" x14ac:dyDescent="0.2">
      <c r="B37" s="1">
        <f>-IF(B34&lt;=4189,B34+B35+B36,3772)</f>
        <v>-1542.63</v>
      </c>
      <c r="C37" s="1">
        <f>-B37*0.15</f>
        <v>231.39449999999999</v>
      </c>
    </row>
    <row r="38" spans="1:9" hidden="1" x14ac:dyDescent="0.2">
      <c r="B38" s="1">
        <f>-IF(B34&gt;=4189,B34-4189,0)</f>
        <v>0</v>
      </c>
      <c r="C38" s="1">
        <f>B38*0.1505*-1</f>
        <v>0</v>
      </c>
    </row>
    <row r="39" spans="1:9" hidden="1" x14ac:dyDescent="0.2">
      <c r="B39" s="1">
        <f>SUM(B34:B38)</f>
        <v>0</v>
      </c>
      <c r="C39" s="1">
        <f>(B39*0.1505)*-1</f>
        <v>0</v>
      </c>
      <c r="F39" s="1"/>
    </row>
    <row r="40" spans="1:9" hidden="1" x14ac:dyDescent="0.2">
      <c r="C40" s="1">
        <f>SUM(C37:C39)</f>
        <v>231.39449999999999</v>
      </c>
      <c r="E40" s="1">
        <f>SUM(C40:D40)</f>
        <v>231.39449999999999</v>
      </c>
    </row>
    <row r="41" spans="1:9" hidden="1" x14ac:dyDescent="0.2"/>
    <row r="42" spans="1:9" x14ac:dyDescent="0.2">
      <c r="F42" s="1"/>
    </row>
    <row r="43" spans="1:9" x14ac:dyDescent="0.2">
      <c r="E43" s="1"/>
      <c r="F43" s="1"/>
    </row>
    <row r="44" spans="1:9" x14ac:dyDescent="0.2">
      <c r="E44" s="1"/>
    </row>
  </sheetData>
  <phoneticPr fontId="2" type="noConversion"/>
  <pageMargins left="0.75" right="0.75" top="1" bottom="1" header="0.5" footer="0.5"/>
  <pageSetup paperSize="9" scale="81" orientation="landscape" r:id="rId1"/>
  <headerFooter alignWithMargins="0">
    <oddFooter>&amp;L&amp;F&amp;R&amp;D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44"/>
  <sheetViews>
    <sheetView topLeftCell="A4" workbookViewId="0">
      <selection activeCell="F16" sqref="F16"/>
    </sheetView>
  </sheetViews>
  <sheetFormatPr defaultRowHeight="12.75" x14ac:dyDescent="0.2"/>
  <cols>
    <col min="2" max="2" width="11.140625" style="1" bestFit="1" customWidth="1"/>
    <col min="3" max="4" width="9.140625" style="1"/>
    <col min="5" max="6" width="18.42578125" customWidth="1"/>
    <col min="7" max="8" width="9.140625" style="1"/>
    <col min="9" max="9" width="17.140625" customWidth="1"/>
    <col min="11" max="11" width="15" customWidth="1"/>
    <col min="12" max="12" width="17" bestFit="1" customWidth="1"/>
    <col min="13" max="13" width="14.5703125" customWidth="1"/>
  </cols>
  <sheetData>
    <row r="1" spans="1:13" ht="14.25" x14ac:dyDescent="0.2">
      <c r="A1" s="11"/>
      <c r="B1" s="12"/>
    </row>
    <row r="2" spans="1:13" ht="14.25" x14ac:dyDescent="0.2">
      <c r="D2" s="10" t="s">
        <v>26</v>
      </c>
      <c r="E2" s="11"/>
      <c r="F2" s="11"/>
      <c r="G2" s="10"/>
      <c r="H2" s="10"/>
      <c r="I2" s="11"/>
      <c r="J2" s="11"/>
      <c r="K2" s="11"/>
      <c r="L2" s="11"/>
      <c r="M2" s="11"/>
    </row>
    <row r="3" spans="1:13" ht="14.25" x14ac:dyDescent="0.2">
      <c r="D3" s="10"/>
      <c r="E3" s="11"/>
      <c r="F3" s="11"/>
      <c r="G3" s="10"/>
      <c r="H3" s="10"/>
      <c r="I3" s="11"/>
      <c r="J3" s="11"/>
      <c r="K3" s="11"/>
      <c r="L3" s="11"/>
      <c r="M3" s="11"/>
    </row>
    <row r="4" spans="1:13" ht="14.25" x14ac:dyDescent="0.2">
      <c r="A4" s="2"/>
      <c r="D4" s="10" t="s">
        <v>27</v>
      </c>
      <c r="E4" s="11"/>
      <c r="F4" s="11"/>
      <c r="G4" s="10"/>
      <c r="H4" s="10"/>
      <c r="I4" s="11"/>
      <c r="J4" s="11"/>
      <c r="K4" s="11"/>
      <c r="L4" s="11"/>
      <c r="M4" s="11"/>
    </row>
    <row r="5" spans="1:13" ht="14.25" x14ac:dyDescent="0.2">
      <c r="A5" s="2"/>
      <c r="D5" s="10"/>
      <c r="E5" s="11"/>
      <c r="F5" s="11"/>
      <c r="G5" s="10"/>
      <c r="H5" s="10"/>
      <c r="I5" s="11"/>
      <c r="J5" s="11"/>
      <c r="K5" s="11"/>
      <c r="L5" s="11"/>
      <c r="M5" s="11"/>
    </row>
    <row r="6" spans="1:13" ht="14.25" x14ac:dyDescent="0.2">
      <c r="A6" t="s">
        <v>35</v>
      </c>
      <c r="D6" s="10"/>
      <c r="E6" s="11"/>
      <c r="F6" s="11"/>
      <c r="G6" s="10"/>
      <c r="H6" s="10"/>
      <c r="I6" s="11"/>
      <c r="J6" s="11"/>
      <c r="K6" s="11"/>
      <c r="L6" s="11"/>
      <c r="M6" s="11"/>
    </row>
    <row r="7" spans="1:13" ht="14.25" x14ac:dyDescent="0.2">
      <c r="A7" t="s">
        <v>36</v>
      </c>
      <c r="D7" s="10"/>
      <c r="E7" s="11"/>
      <c r="F7" s="11"/>
      <c r="G7" s="10"/>
      <c r="H7" s="10"/>
      <c r="I7" s="11"/>
      <c r="J7" s="11"/>
      <c r="K7" s="11"/>
      <c r="L7" s="11"/>
      <c r="M7" s="11"/>
    </row>
    <row r="8" spans="1:13" x14ac:dyDescent="0.2">
      <c r="A8" s="2"/>
    </row>
    <row r="9" spans="1:13" x14ac:dyDescent="0.2">
      <c r="A9" s="4" t="s">
        <v>33</v>
      </c>
      <c r="B9" s="5"/>
      <c r="C9" s="5"/>
      <c r="D9" s="5"/>
    </row>
    <row r="10" spans="1:13" x14ac:dyDescent="0.2">
      <c r="A10" s="2"/>
      <c r="G10" s="5" t="s">
        <v>6</v>
      </c>
      <c r="H10" s="5" t="s">
        <v>6</v>
      </c>
      <c r="I10" s="4" t="s">
        <v>6</v>
      </c>
      <c r="J10" s="4"/>
      <c r="K10" s="5" t="s">
        <v>6</v>
      </c>
      <c r="L10" s="5" t="s">
        <v>6</v>
      </c>
      <c r="M10" s="4" t="s">
        <v>6</v>
      </c>
    </row>
    <row r="11" spans="1:13" x14ac:dyDescent="0.2">
      <c r="A11" s="4" t="s">
        <v>28</v>
      </c>
      <c r="G11" s="7" t="s">
        <v>7</v>
      </c>
      <c r="H11" s="7" t="s">
        <v>7</v>
      </c>
      <c r="I11" s="4" t="s">
        <v>8</v>
      </c>
      <c r="J11" s="4"/>
      <c r="K11" s="7" t="s">
        <v>7</v>
      </c>
      <c r="L11" s="7" t="s">
        <v>7</v>
      </c>
      <c r="M11" s="4" t="s">
        <v>8</v>
      </c>
    </row>
    <row r="12" spans="1:13" x14ac:dyDescent="0.2">
      <c r="A12" s="2"/>
      <c r="E12" s="4" t="s">
        <v>4</v>
      </c>
      <c r="F12" s="4" t="s">
        <v>50</v>
      </c>
      <c r="G12" s="5"/>
      <c r="H12" s="5"/>
      <c r="I12" s="4"/>
      <c r="J12" s="4"/>
      <c r="K12" s="5" t="s">
        <v>0</v>
      </c>
      <c r="L12" s="4" t="s">
        <v>48</v>
      </c>
      <c r="M12" s="4"/>
    </row>
    <row r="13" spans="1:13" x14ac:dyDescent="0.2">
      <c r="E13" s="4" t="s">
        <v>5</v>
      </c>
      <c r="F13" s="4"/>
      <c r="G13" s="5" t="s">
        <v>0</v>
      </c>
      <c r="H13" s="5" t="s">
        <v>49</v>
      </c>
      <c r="I13" s="4" t="s">
        <v>1</v>
      </c>
      <c r="J13" s="4"/>
      <c r="K13" s="4" t="s">
        <v>9</v>
      </c>
      <c r="L13" s="4" t="s">
        <v>9</v>
      </c>
      <c r="M13" s="4" t="s">
        <v>9</v>
      </c>
    </row>
    <row r="14" spans="1:13" x14ac:dyDescent="0.2">
      <c r="G14" s="5" t="s">
        <v>2</v>
      </c>
      <c r="H14" s="5" t="s">
        <v>2</v>
      </c>
      <c r="I14" s="4" t="s">
        <v>2</v>
      </c>
      <c r="J14" s="4"/>
      <c r="K14" s="4" t="s">
        <v>13</v>
      </c>
      <c r="L14" s="4" t="s">
        <v>13</v>
      </c>
      <c r="M14" s="4" t="s">
        <v>13</v>
      </c>
    </row>
    <row r="15" spans="1:13" ht="15.75" customHeight="1" x14ac:dyDescent="0.2">
      <c r="G15" s="5"/>
      <c r="H15" s="5"/>
      <c r="I15" s="4"/>
      <c r="J15" s="4"/>
      <c r="K15" s="4"/>
      <c r="L15" s="4"/>
      <c r="M15" s="4"/>
    </row>
    <row r="16" spans="1:13" ht="13.5" customHeight="1" x14ac:dyDescent="0.2">
      <c r="A16" t="s">
        <v>11</v>
      </c>
      <c r="B16" s="18">
        <v>14400</v>
      </c>
      <c r="E16" s="22">
        <f>E22</f>
        <v>1410</v>
      </c>
      <c r="F16" s="22">
        <f>B19*0.005*-1</f>
        <v>47</v>
      </c>
      <c r="G16" s="22">
        <f>B16*0.22</f>
        <v>3168</v>
      </c>
      <c r="H16" s="22">
        <f>B16*0.08</f>
        <v>1152</v>
      </c>
      <c r="I16" s="22">
        <f>B16*0.145</f>
        <v>2088</v>
      </c>
      <c r="K16" s="23">
        <f>B16+E16+G16+F16</f>
        <v>19025</v>
      </c>
      <c r="L16" s="23">
        <f>B16+E16+H16+F16</f>
        <v>17009</v>
      </c>
      <c r="M16" s="23">
        <f>B16+E16+I16+F16</f>
        <v>17945</v>
      </c>
    </row>
    <row r="17" spans="1:9" hidden="1" x14ac:dyDescent="0.2">
      <c r="B17" s="1">
        <v>0</v>
      </c>
      <c r="E17" s="3"/>
      <c r="F17" s="3"/>
    </row>
    <row r="18" spans="1:9" hidden="1" x14ac:dyDescent="0.2">
      <c r="B18" s="1">
        <v>-5000</v>
      </c>
    </row>
    <row r="19" spans="1:9" hidden="1" x14ac:dyDescent="0.2">
      <c r="B19" s="1">
        <f>-IF(B16&lt;=50270,B16+B17+B18,45270)</f>
        <v>-9400</v>
      </c>
      <c r="C19" s="1">
        <f>-B19*0.15</f>
        <v>1410</v>
      </c>
      <c r="D19"/>
    </row>
    <row r="20" spans="1:9" hidden="1" x14ac:dyDescent="0.2">
      <c r="B20" s="1">
        <f>-IF(B16&gt;50270,B16-50270,0)</f>
        <v>0</v>
      </c>
      <c r="C20" s="1">
        <f>-B20*0.1505</f>
        <v>0</v>
      </c>
      <c r="D20"/>
    </row>
    <row r="21" spans="1:9" hidden="1" x14ac:dyDescent="0.2">
      <c r="B21" s="1">
        <f>SUM(B16:B20)</f>
        <v>0</v>
      </c>
      <c r="C21" s="1">
        <f>(B21*0.1505)*-1</f>
        <v>0</v>
      </c>
      <c r="D21"/>
    </row>
    <row r="22" spans="1:9" hidden="1" x14ac:dyDescent="0.2">
      <c r="B22"/>
      <c r="C22" s="1">
        <f>SUM(C19:C21)</f>
        <v>1410</v>
      </c>
      <c r="E22" s="1">
        <f>SUM(C22:D22)</f>
        <v>1410</v>
      </c>
      <c r="F22" s="1"/>
    </row>
    <row r="29" spans="1:9" x14ac:dyDescent="0.2">
      <c r="A29" s="4" t="s">
        <v>32</v>
      </c>
      <c r="B29" s="5"/>
      <c r="C29" s="5"/>
      <c r="D29" s="5"/>
    </row>
    <row r="30" spans="1:9" x14ac:dyDescent="0.2">
      <c r="A30" s="4" t="s">
        <v>28</v>
      </c>
      <c r="B30" s="5"/>
      <c r="C30" s="5"/>
      <c r="D30" s="5"/>
    </row>
    <row r="31" spans="1:9" x14ac:dyDescent="0.2">
      <c r="E31" s="4" t="s">
        <v>4</v>
      </c>
      <c r="F31" s="4" t="s">
        <v>50</v>
      </c>
      <c r="I31" s="4" t="s">
        <v>9</v>
      </c>
    </row>
    <row r="32" spans="1:9" x14ac:dyDescent="0.2">
      <c r="E32" s="4" t="s">
        <v>5</v>
      </c>
      <c r="I32" s="4" t="s">
        <v>12</v>
      </c>
    </row>
    <row r="33" spans="1:9" x14ac:dyDescent="0.2">
      <c r="E33" s="4"/>
      <c r="I33" s="4"/>
    </row>
    <row r="34" spans="1:9" ht="13.5" customHeight="1" x14ac:dyDescent="0.2">
      <c r="A34" t="s">
        <v>11</v>
      </c>
      <c r="B34" s="18">
        <v>14400</v>
      </c>
      <c r="E34" s="22">
        <f>E40</f>
        <v>1410</v>
      </c>
      <c r="F34" s="22">
        <f>B37*0.005*-1</f>
        <v>47</v>
      </c>
      <c r="I34" s="23">
        <f>B34+E34+F34</f>
        <v>15857</v>
      </c>
    </row>
    <row r="35" spans="1:9" hidden="1" x14ac:dyDescent="0.2">
      <c r="B35" s="1">
        <v>0</v>
      </c>
      <c r="E35" s="3"/>
      <c r="F35" s="3"/>
    </row>
    <row r="36" spans="1:9" hidden="1" x14ac:dyDescent="0.2">
      <c r="B36" s="1">
        <v>-5000</v>
      </c>
    </row>
    <row r="37" spans="1:9" hidden="1" x14ac:dyDescent="0.2">
      <c r="B37" s="1">
        <f>-IF(B34&lt;=50270,B34+B35+B36,45270)</f>
        <v>-9400</v>
      </c>
      <c r="C37" s="1">
        <f>-B37*0.15</f>
        <v>1410</v>
      </c>
      <c r="D37"/>
    </row>
    <row r="38" spans="1:9" hidden="1" x14ac:dyDescent="0.2">
      <c r="B38" s="1">
        <f>-IF(B34&gt;50270,B34-50270,0)</f>
        <v>0</v>
      </c>
      <c r="C38" s="1">
        <f>-B38*0.1505</f>
        <v>0</v>
      </c>
      <c r="D38"/>
    </row>
    <row r="39" spans="1:9" hidden="1" x14ac:dyDescent="0.2">
      <c r="B39" s="1">
        <f>SUM(B34:B38)</f>
        <v>0</v>
      </c>
      <c r="C39" s="1">
        <f>(B39*0.1505)*-1</f>
        <v>0</v>
      </c>
      <c r="D39"/>
    </row>
    <row r="40" spans="1:9" hidden="1" x14ac:dyDescent="0.2">
      <c r="B40"/>
      <c r="C40" s="1">
        <f>SUM(C37:C39)</f>
        <v>1410</v>
      </c>
      <c r="E40" s="1">
        <f>SUM(C40:D40)</f>
        <v>1410</v>
      </c>
      <c r="F40" s="1"/>
    </row>
    <row r="41" spans="1:9" hidden="1" x14ac:dyDescent="0.2"/>
    <row r="43" spans="1:9" x14ac:dyDescent="0.2">
      <c r="E43" s="1"/>
      <c r="F43" s="1"/>
    </row>
    <row r="44" spans="1:9" x14ac:dyDescent="0.2">
      <c r="E44" s="1"/>
      <c r="F44" s="1"/>
    </row>
  </sheetData>
  <phoneticPr fontId="2" type="noConversion"/>
  <pageMargins left="0.75" right="0.75" top="1" bottom="1" header="0.5" footer="0.5"/>
  <pageSetup paperSize="9" scale="95" orientation="landscape" r:id="rId1"/>
  <headerFooter alignWithMargins="0">
    <oddFooter>&amp;L&amp;F&amp;A&amp;R&amp;D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10"/>
  <sheetViews>
    <sheetView workbookViewId="0">
      <selection activeCell="C11" sqref="C11"/>
    </sheetView>
  </sheetViews>
  <sheetFormatPr defaultRowHeight="12.75" x14ac:dyDescent="0.2"/>
  <cols>
    <col min="2" max="2" width="18.140625" customWidth="1"/>
    <col min="3" max="3" width="15.28515625" customWidth="1"/>
    <col min="9" max="9" width="13.42578125" customWidth="1"/>
    <col min="10" max="10" width="4.5703125" style="8" customWidth="1"/>
    <col min="11" max="11" width="13.28515625" customWidth="1"/>
  </cols>
  <sheetData>
    <row r="1" spans="1:11" x14ac:dyDescent="0.2">
      <c r="A1" s="6" t="s">
        <v>34</v>
      </c>
      <c r="B1" s="6"/>
      <c r="C1" s="6"/>
      <c r="D1" s="6"/>
      <c r="E1" s="6"/>
      <c r="F1" s="6"/>
      <c r="G1" s="6"/>
    </row>
    <row r="3" spans="1:11" ht="14.25" x14ac:dyDescent="0.2">
      <c r="A3" t="s">
        <v>35</v>
      </c>
      <c r="B3" s="1"/>
      <c r="C3" s="1"/>
      <c r="D3" s="10"/>
      <c r="E3" s="11"/>
    </row>
    <row r="4" spans="1:11" ht="14.25" x14ac:dyDescent="0.2">
      <c r="A4" t="s">
        <v>36</v>
      </c>
      <c r="B4" s="1"/>
      <c r="C4" s="1"/>
      <c r="D4" s="10"/>
      <c r="E4" s="11"/>
    </row>
    <row r="6" spans="1:11" ht="18.75" customHeight="1" x14ac:dyDescent="0.2">
      <c r="B6" s="4" t="s">
        <v>14</v>
      </c>
      <c r="C6" s="4" t="s">
        <v>15</v>
      </c>
      <c r="D6" s="4" t="s">
        <v>16</v>
      </c>
      <c r="E6" s="4" t="s">
        <v>17</v>
      </c>
      <c r="F6" s="4" t="s">
        <v>21</v>
      </c>
      <c r="G6" s="4" t="s">
        <v>18</v>
      </c>
      <c r="H6" s="4" t="s">
        <v>16</v>
      </c>
      <c r="I6" s="4" t="s">
        <v>20</v>
      </c>
      <c r="J6" s="16"/>
      <c r="K6" s="4" t="s">
        <v>20</v>
      </c>
    </row>
    <row r="7" spans="1:11" s="14" customFormat="1" ht="27.75" customHeight="1" x14ac:dyDescent="0.2">
      <c r="B7" s="15" t="s">
        <v>23</v>
      </c>
      <c r="C7" s="15"/>
      <c r="D7" s="15"/>
      <c r="E7" s="15"/>
      <c r="F7" s="15" t="s">
        <v>22</v>
      </c>
      <c r="G7" s="15" t="s">
        <v>19</v>
      </c>
      <c r="H7" s="15" t="s">
        <v>19</v>
      </c>
      <c r="I7" s="15" t="s">
        <v>31</v>
      </c>
      <c r="J7" s="17"/>
      <c r="K7" s="15" t="s">
        <v>30</v>
      </c>
    </row>
    <row r="8" spans="1:11" x14ac:dyDescent="0.2">
      <c r="E8" s="8"/>
    </row>
    <row r="9" spans="1:11" x14ac:dyDescent="0.2">
      <c r="D9" s="8"/>
      <c r="E9" s="8"/>
      <c r="F9" s="8"/>
      <c r="I9" s="8"/>
    </row>
    <row r="10" spans="1:11" x14ac:dyDescent="0.2">
      <c r="B10" s="19">
        <v>20000</v>
      </c>
      <c r="C10" s="20">
        <f>B10/12</f>
        <v>1666.6666666666667</v>
      </c>
      <c r="D10" s="9">
        <v>52</v>
      </c>
      <c r="E10" s="9">
        <v>36.5</v>
      </c>
      <c r="F10" s="21">
        <f>B10/D10/E10</f>
        <v>10.537407797681771</v>
      </c>
      <c r="G10" s="24">
        <v>18.25</v>
      </c>
      <c r="H10" s="24">
        <v>52</v>
      </c>
      <c r="I10" s="25">
        <f>F10*G10*H10</f>
        <v>10000</v>
      </c>
      <c r="J10" s="26"/>
      <c r="K10" s="27">
        <f>I10/12</f>
        <v>833.33333333333337</v>
      </c>
    </row>
  </sheetData>
  <phoneticPr fontId="2" type="noConversion"/>
  <pageMargins left="0.75" right="0.75" top="1" bottom="1" header="0.5" footer="0.5"/>
  <pageSetup paperSize="9" orientation="landscape" r:id="rId1"/>
  <headerFooter alignWithMargins="0">
    <oddFooter>&amp;L&amp;F&amp;A&amp;R&amp;D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0"/>
  <sheetViews>
    <sheetView tabSelected="1" workbookViewId="0">
      <selection activeCell="G15" sqref="G15"/>
    </sheetView>
  </sheetViews>
  <sheetFormatPr defaultRowHeight="12.75" x14ac:dyDescent="0.2"/>
  <cols>
    <col min="2" max="2" width="18.140625" customWidth="1"/>
    <col min="3" max="3" width="11.7109375" customWidth="1"/>
    <col min="5" max="5" width="15.28515625" customWidth="1"/>
    <col min="6" max="6" width="15" customWidth="1"/>
  </cols>
  <sheetData>
    <row r="1" spans="1:9" x14ac:dyDescent="0.2">
      <c r="A1" s="6" t="s">
        <v>37</v>
      </c>
      <c r="B1" s="6"/>
      <c r="C1" s="6"/>
      <c r="D1" s="6"/>
      <c r="E1" s="6"/>
      <c r="F1" s="6"/>
      <c r="G1" s="6"/>
      <c r="H1" s="6"/>
    </row>
    <row r="2" spans="1:9" x14ac:dyDescent="0.2">
      <c r="A2" t="s">
        <v>44</v>
      </c>
      <c r="E2" t="s">
        <v>45</v>
      </c>
    </row>
    <row r="3" spans="1:9" ht="14.25" x14ac:dyDescent="0.2">
      <c r="A3" t="s">
        <v>35</v>
      </c>
      <c r="B3" s="1"/>
      <c r="C3" s="10"/>
      <c r="D3" s="10"/>
      <c r="E3" s="1"/>
      <c r="F3" s="10"/>
    </row>
    <row r="4" spans="1:9" ht="14.25" x14ac:dyDescent="0.2">
      <c r="A4" t="s">
        <v>36</v>
      </c>
      <c r="B4" s="1"/>
      <c r="C4" s="10"/>
      <c r="D4" s="10"/>
      <c r="E4" s="1"/>
      <c r="F4" s="10"/>
    </row>
    <row r="6" spans="1:9" ht="18.75" customHeight="1" x14ac:dyDescent="0.2">
      <c r="B6" s="4" t="s">
        <v>38</v>
      </c>
      <c r="C6" s="4" t="s">
        <v>46</v>
      </c>
      <c r="D6" s="4" t="s">
        <v>40</v>
      </c>
      <c r="E6" s="4" t="s">
        <v>39</v>
      </c>
      <c r="F6" s="4" t="s">
        <v>43</v>
      </c>
      <c r="G6" s="4" t="s">
        <v>41</v>
      </c>
      <c r="H6" s="4" t="s">
        <v>50</v>
      </c>
      <c r="I6" s="4" t="s">
        <v>42</v>
      </c>
    </row>
    <row r="7" spans="1:9" s="14" customFormat="1" ht="27.75" customHeight="1" x14ac:dyDescent="0.2">
      <c r="B7" s="15"/>
      <c r="C7" s="15"/>
      <c r="D7" s="15"/>
      <c r="E7" s="28">
        <v>0.1207</v>
      </c>
      <c r="F7" s="15"/>
      <c r="G7" s="30">
        <v>0.15</v>
      </c>
      <c r="H7" s="30">
        <v>5.0000000000000001E-3</v>
      </c>
    </row>
    <row r="9" spans="1:9" x14ac:dyDescent="0.2">
      <c r="C9" s="8"/>
      <c r="D9" s="8"/>
      <c r="F9" s="8"/>
      <c r="G9" s="8"/>
      <c r="H9" s="8"/>
    </row>
    <row r="10" spans="1:9" x14ac:dyDescent="0.2">
      <c r="B10" s="19">
        <v>12</v>
      </c>
      <c r="C10" s="24">
        <v>292</v>
      </c>
      <c r="D10" s="20">
        <f>B10*C10</f>
        <v>3504</v>
      </c>
      <c r="E10" s="29">
        <f>D10*0.1207</f>
        <v>422.93279999999999</v>
      </c>
      <c r="F10" s="20">
        <f>SUM(D10:E10)</f>
        <v>3926.9328</v>
      </c>
      <c r="G10" s="32">
        <f>IF(F10&gt;417,(F10-417)*0.15,0)</f>
        <v>526.48991999999998</v>
      </c>
      <c r="H10" s="32">
        <f>IF(F10&gt;417,(F10-417)*0.005,0)</f>
        <v>17.549664</v>
      </c>
      <c r="I10" s="31">
        <f>SUM(F10:H10)</f>
        <v>4470.9723840000006</v>
      </c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"/>
  <sheetViews>
    <sheetView workbookViewId="0">
      <selection activeCell="H11" sqref="H11"/>
    </sheetView>
  </sheetViews>
  <sheetFormatPr defaultRowHeight="12.75" x14ac:dyDescent="0.2"/>
  <cols>
    <col min="2" max="2" width="18.140625" customWidth="1"/>
    <col min="3" max="3" width="11.7109375" customWidth="1"/>
    <col min="5" max="5" width="15.28515625" customWidth="1"/>
    <col min="6" max="6" width="15" customWidth="1"/>
  </cols>
  <sheetData>
    <row r="1" spans="1:9" x14ac:dyDescent="0.2">
      <c r="A1" s="6" t="s">
        <v>37</v>
      </c>
      <c r="B1" s="6"/>
      <c r="C1" s="6"/>
      <c r="D1" s="6"/>
      <c r="E1" s="6"/>
      <c r="F1" s="6"/>
      <c r="G1" s="6"/>
    </row>
    <row r="2" spans="1:9" x14ac:dyDescent="0.2">
      <c r="A2" t="s">
        <v>44</v>
      </c>
      <c r="E2" t="s">
        <v>45</v>
      </c>
    </row>
    <row r="3" spans="1:9" ht="14.25" x14ac:dyDescent="0.2">
      <c r="A3" t="s">
        <v>35</v>
      </c>
      <c r="B3" s="1"/>
      <c r="C3" s="10"/>
      <c r="D3" s="10"/>
      <c r="E3" s="1"/>
      <c r="F3" s="10"/>
    </row>
    <row r="4" spans="1:9" ht="14.25" x14ac:dyDescent="0.2">
      <c r="A4" t="s">
        <v>36</v>
      </c>
      <c r="B4" s="1"/>
      <c r="C4" s="10"/>
      <c r="D4" s="10"/>
      <c r="E4" s="1"/>
      <c r="F4" s="10"/>
    </row>
    <row r="6" spans="1:9" ht="18.75" customHeight="1" x14ac:dyDescent="0.2">
      <c r="B6" s="4" t="s">
        <v>38</v>
      </c>
      <c r="C6" s="4" t="s">
        <v>46</v>
      </c>
      <c r="D6" s="4" t="s">
        <v>40</v>
      </c>
      <c r="E6" s="4" t="s">
        <v>39</v>
      </c>
      <c r="F6" s="4" t="s">
        <v>43</v>
      </c>
      <c r="G6" s="4" t="s">
        <v>41</v>
      </c>
      <c r="H6" s="4" t="s">
        <v>50</v>
      </c>
      <c r="I6" s="4" t="s">
        <v>42</v>
      </c>
    </row>
    <row r="7" spans="1:9" s="14" customFormat="1" ht="27.75" customHeight="1" x14ac:dyDescent="0.2">
      <c r="B7" s="15"/>
      <c r="C7" s="15"/>
      <c r="D7" s="15"/>
      <c r="E7" s="28">
        <v>0.17649999999999999</v>
      </c>
      <c r="F7" s="15"/>
      <c r="G7" s="30">
        <v>0.15</v>
      </c>
      <c r="H7" s="30">
        <v>5.0000000000000001E-3</v>
      </c>
    </row>
    <row r="9" spans="1:9" x14ac:dyDescent="0.2">
      <c r="C9" s="8"/>
      <c r="D9" s="8"/>
      <c r="F9" s="8"/>
      <c r="G9" s="8"/>
      <c r="H9" s="8"/>
    </row>
    <row r="10" spans="1:9" x14ac:dyDescent="0.2">
      <c r="B10" s="19">
        <v>18.86</v>
      </c>
      <c r="C10" s="24">
        <v>74.5</v>
      </c>
      <c r="D10" s="20">
        <f>B10*C10</f>
        <v>1405.07</v>
      </c>
      <c r="E10" s="29">
        <f>D10*0.1765</f>
        <v>247.99485499999997</v>
      </c>
      <c r="F10" s="20">
        <f>SUM(D10:E10)</f>
        <v>1653.0648549999999</v>
      </c>
      <c r="G10" s="32">
        <f>IF(F10&gt;417,(F10-417)*0.15,0)</f>
        <v>185.40972824999997</v>
      </c>
      <c r="H10" s="32">
        <f>IF(F10&gt;417,(F10-417)*0.005,0)</f>
        <v>6.1803242749999994</v>
      </c>
      <c r="I10" s="31">
        <f>SUM(F10:H10)</f>
        <v>1844.6549075249998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Monthly Salary</vt:lpstr>
      <vt:lpstr>Annual Salary</vt:lpstr>
      <vt:lpstr>Pro Rata Salary</vt:lpstr>
      <vt:lpstr>Casual Cost</vt:lpstr>
      <vt:lpstr>Part-Time Teaching Fellows</vt:lpstr>
    </vt:vector>
  </TitlesOfParts>
  <Company>University of Bath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 Bugg</dc:creator>
  <cp:lastModifiedBy>Simon Paul</cp:lastModifiedBy>
  <cp:lastPrinted>2017-03-20T16:10:09Z</cp:lastPrinted>
  <dcterms:created xsi:type="dcterms:W3CDTF">2009-06-03T16:14:20Z</dcterms:created>
  <dcterms:modified xsi:type="dcterms:W3CDTF">2025-10-24T13:47:50Z</dcterms:modified>
</cp:coreProperties>
</file>