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dos\Sally\Accounting Technician\"/>
    </mc:Choice>
  </mc:AlternateContent>
  <xr:revisionPtr revIDLastSave="0" documentId="13_ncr:1_{E7407A6C-C6E6-4B3E-9726-6A87C2587E44}" xr6:coauthVersionLast="47" xr6:coauthVersionMax="47" xr10:uidLastSave="{00000000-0000-0000-0000-000000000000}"/>
  <bookViews>
    <workbookView xWindow="-28920" yWindow="-120" windowWidth="29040" windowHeight="15840" xr2:uid="{00000000-000D-0000-FFFF-FFFF00000000}"/>
  </bookViews>
  <sheets>
    <sheet name="Summary" sheetId="7" r:id="rId1"/>
    <sheet name="Notes" sheetId="8" state="hidden" r:id="rId2"/>
    <sheet name="assumptions" sheetId="5" state="hidden" r:id="rId3"/>
    <sheet name="Useful Links" sheetId="9" r:id="rId4"/>
    <sheet name="Phased cost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6" l="1"/>
  <c r="G23" i="5" l="1"/>
  <c r="E75" i="5"/>
  <c r="E50" i="5"/>
  <c r="D14" i="7" l="1"/>
  <c r="G35" i="5" l="1"/>
  <c r="G28" i="5"/>
  <c r="Q8" i="6" l="1"/>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7" i="6"/>
  <c r="D25" i="5" l="1"/>
  <c r="E28" i="5"/>
  <c r="E29" i="5" s="1"/>
  <c r="D17" i="7" l="1"/>
  <c r="D30" i="5" l="1"/>
  <c r="D16" i="7"/>
  <c r="G18" i="5"/>
  <c r="G14" i="5"/>
  <c r="U10" i="7"/>
  <c r="E10" i="7" s="1"/>
  <c r="U11" i="7"/>
  <c r="E11" i="7" s="1"/>
  <c r="E30" i="5" l="1"/>
  <c r="F29" i="5"/>
  <c r="K22" i="5" l="1"/>
  <c r="G22" i="5" s="1"/>
  <c r="O8" i="6" l="1"/>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7" i="6"/>
  <c r="C73" i="5"/>
  <c r="C74" i="5" s="1"/>
  <c r="D27" i="7" l="1"/>
  <c r="C26" i="7"/>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I37" i="6" l="1"/>
  <c r="I47" i="6"/>
  <c r="I31" i="6"/>
  <c r="I15" i="6"/>
  <c r="I46" i="6"/>
  <c r="I38" i="6"/>
  <c r="I30" i="6"/>
  <c r="I22" i="6"/>
  <c r="I14" i="6"/>
  <c r="I54" i="6"/>
  <c r="I36" i="6"/>
  <c r="I20" i="6"/>
  <c r="I19" i="6"/>
  <c r="I11" i="6"/>
  <c r="I58" i="6"/>
  <c r="E26" i="7"/>
  <c r="I12" i="6"/>
  <c r="I51" i="6"/>
  <c r="I35" i="6"/>
  <c r="I27" i="6"/>
  <c r="I43" i="6"/>
  <c r="I44" i="6"/>
  <c r="I52" i="6"/>
  <c r="I28" i="6"/>
  <c r="I7" i="6"/>
  <c r="I55" i="6"/>
  <c r="I39" i="6"/>
  <c r="I23" i="6"/>
  <c r="G64" i="6"/>
  <c r="I50" i="6"/>
  <c r="I26" i="6"/>
  <c r="I18" i="6"/>
  <c r="I10" i="6"/>
  <c r="I42" i="6"/>
  <c r="I34" i="6"/>
  <c r="I32" i="6"/>
  <c r="I24" i="6"/>
  <c r="I16" i="6"/>
  <c r="I8" i="6"/>
  <c r="I56" i="6"/>
  <c r="I48" i="6"/>
  <c r="I40" i="6"/>
  <c r="I57" i="6"/>
  <c r="I49" i="6"/>
  <c r="I41" i="6"/>
  <c r="I33" i="6"/>
  <c r="I25" i="6"/>
  <c r="I17" i="6"/>
  <c r="I9" i="6"/>
  <c r="I53" i="6"/>
  <c r="I45" i="6"/>
  <c r="I29" i="6"/>
  <c r="I21" i="6"/>
  <c r="I13" i="6"/>
  <c r="I64" i="6" l="1"/>
  <c r="A8" i="6"/>
  <c r="B7" i="6"/>
  <c r="G33" i="5"/>
  <c r="G34" i="5" s="1"/>
  <c r="D37" i="5"/>
  <c r="E33" i="5"/>
  <c r="F34" i="5" s="1"/>
  <c r="E22" i="5"/>
  <c r="E23" i="5" s="1"/>
  <c r="E24" i="5" s="1"/>
  <c r="G9" i="5"/>
  <c r="E5" i="5"/>
  <c r="G5" i="5" s="1"/>
  <c r="C52" i="5"/>
  <c r="C48" i="5"/>
  <c r="C49" i="5" s="1"/>
  <c r="AI7" i="6" l="1"/>
  <c r="AH7" i="6"/>
  <c r="E7" i="6"/>
  <c r="B6" i="6"/>
  <c r="B5" i="6" s="1"/>
  <c r="D18" i="7"/>
  <c r="C7" i="6"/>
  <c r="D7" i="6" s="1"/>
  <c r="L7" i="6"/>
  <c r="Y7" i="6"/>
  <c r="K7" i="6"/>
  <c r="P7" i="6"/>
  <c r="R7" i="6" s="1"/>
  <c r="W7" i="6"/>
  <c r="X7" i="6"/>
  <c r="E34" i="5"/>
  <c r="E35" i="5" s="1"/>
  <c r="E36" i="5" s="1"/>
  <c r="E37" i="5" s="1"/>
  <c r="A9" i="6"/>
  <c r="S8" i="6"/>
  <c r="J7" i="6"/>
  <c r="AE7" i="6"/>
  <c r="AF7" i="6"/>
  <c r="B8" i="6"/>
  <c r="F23" i="5"/>
  <c r="E25" i="5"/>
  <c r="AH8" i="6" l="1"/>
  <c r="AI8" i="6"/>
  <c r="AF5" i="6"/>
  <c r="AE5" i="6"/>
  <c r="C5" i="6"/>
  <c r="D5" i="6" s="1"/>
  <c r="B4" i="6"/>
  <c r="E5" i="6"/>
  <c r="C6" i="6"/>
  <c r="D6" i="6" s="1"/>
  <c r="E6" i="6"/>
  <c r="AE6" i="6"/>
  <c r="AF6" i="6"/>
  <c r="M7" i="6"/>
  <c r="C8" i="6"/>
  <c r="D8" i="6" s="1"/>
  <c r="E8" i="6"/>
  <c r="H7" i="6"/>
  <c r="L8" i="6"/>
  <c r="Y8" i="6"/>
  <c r="J8" i="6"/>
  <c r="K8" i="6"/>
  <c r="P8" i="6"/>
  <c r="R8" i="6" s="1"/>
  <c r="X8" i="6"/>
  <c r="F35" i="5"/>
  <c r="A10" i="6"/>
  <c r="S9" i="6"/>
  <c r="AE8" i="6"/>
  <c r="W8" i="6"/>
  <c r="AF8" i="6"/>
  <c r="B9" i="6"/>
  <c r="F24" i="5"/>
  <c r="AH9" i="6" l="1"/>
  <c r="AI9" i="6"/>
  <c r="B3" i="6"/>
  <c r="E4" i="6"/>
  <c r="AE4" i="6"/>
  <c r="AF4" i="6"/>
  <c r="C4" i="6"/>
  <c r="D4" i="6" s="1"/>
  <c r="M8" i="6"/>
  <c r="C9" i="6"/>
  <c r="D9" i="6" s="1"/>
  <c r="E9" i="6"/>
  <c r="L9" i="6"/>
  <c r="Y9" i="6"/>
  <c r="H8" i="6"/>
  <c r="J9" i="6"/>
  <c r="K9" i="6"/>
  <c r="P9" i="6"/>
  <c r="R9" i="6" s="1"/>
  <c r="F36" i="5"/>
  <c r="T7" i="6" s="1"/>
  <c r="X9" i="6"/>
  <c r="A11" i="6"/>
  <c r="S10" i="6"/>
  <c r="N7" i="6"/>
  <c r="AE9" i="6"/>
  <c r="AF9" i="6"/>
  <c r="B10" i="6"/>
  <c r="W9" i="6"/>
  <c r="T10" i="6" l="1"/>
  <c r="AB10" i="6" s="1"/>
  <c r="T8" i="6"/>
  <c r="U8" i="6" s="1"/>
  <c r="AH10" i="6"/>
  <c r="AI10" i="6"/>
  <c r="Z7" i="6"/>
  <c r="V7" i="6"/>
  <c r="U7" i="6"/>
  <c r="AB7" i="6"/>
  <c r="AA7" i="6"/>
  <c r="T9" i="6"/>
  <c r="Z9" i="6" s="1"/>
  <c r="C3" i="6"/>
  <c r="D3" i="6" s="1"/>
  <c r="E3" i="6"/>
  <c r="AE3" i="6"/>
  <c r="AF3" i="6"/>
  <c r="M9" i="6"/>
  <c r="N8" i="6"/>
  <c r="C10" i="6"/>
  <c r="D10" i="6" s="1"/>
  <c r="E10" i="6"/>
  <c r="L10" i="6"/>
  <c r="Y10" i="6"/>
  <c r="H9" i="6"/>
  <c r="T11" i="6"/>
  <c r="J10" i="6"/>
  <c r="K10" i="6"/>
  <c r="P10" i="6"/>
  <c r="R10" i="6" s="1"/>
  <c r="D30" i="7"/>
  <c r="D40" i="7" s="1"/>
  <c r="X10" i="6"/>
  <c r="A12" i="6"/>
  <c r="S11" i="6"/>
  <c r="AE10" i="6"/>
  <c r="AF10" i="6"/>
  <c r="B11" i="6"/>
  <c r="W10" i="6"/>
  <c r="Z10" i="6" l="1"/>
  <c r="Z8" i="6"/>
  <c r="AA8" i="6"/>
  <c r="V8" i="6"/>
  <c r="AB8" i="6"/>
  <c r="V10" i="6"/>
  <c r="AH11" i="6"/>
  <c r="AI11" i="6"/>
  <c r="AC7" i="6"/>
  <c r="AB9" i="6"/>
  <c r="V9" i="6"/>
  <c r="U9" i="6"/>
  <c r="AA9" i="6"/>
  <c r="C11" i="6"/>
  <c r="D11" i="6" s="1"/>
  <c r="E11" i="6"/>
  <c r="U10" i="6"/>
  <c r="AB11" i="6"/>
  <c r="V11" i="6"/>
  <c r="M10" i="6"/>
  <c r="AA10" i="6" s="1"/>
  <c r="L11" i="6"/>
  <c r="Y11" i="6"/>
  <c r="H10" i="6"/>
  <c r="T12" i="6"/>
  <c r="J11" i="6"/>
  <c r="K11" i="6"/>
  <c r="P11" i="6"/>
  <c r="R11" i="6" s="1"/>
  <c r="Z11" i="6" s="1"/>
  <c r="X11" i="6"/>
  <c r="A13" i="6"/>
  <c r="S12" i="6"/>
  <c r="N9" i="6"/>
  <c r="AE11" i="6"/>
  <c r="AF11" i="6"/>
  <c r="B12" i="6"/>
  <c r="W11" i="6"/>
  <c r="AC8" i="6" l="1"/>
  <c r="AH12" i="6"/>
  <c r="AI12" i="6"/>
  <c r="AC9" i="6"/>
  <c r="M11" i="6"/>
  <c r="AA11" i="6" s="1"/>
  <c r="E12" i="6"/>
  <c r="C12" i="6"/>
  <c r="D12" i="6" s="1"/>
  <c r="U11" i="6"/>
  <c r="V12" i="6"/>
  <c r="AB12" i="6"/>
  <c r="L12" i="6"/>
  <c r="Y12" i="6"/>
  <c r="T13" i="6"/>
  <c r="H11" i="6"/>
  <c r="J12" i="6"/>
  <c r="K12" i="6"/>
  <c r="P12" i="6"/>
  <c r="R12" i="6" s="1"/>
  <c r="Z12" i="6" s="1"/>
  <c r="X12" i="6"/>
  <c r="N10" i="6"/>
  <c r="A14" i="6"/>
  <c r="S13" i="6"/>
  <c r="AE12" i="6"/>
  <c r="AF12" i="6"/>
  <c r="B13" i="6"/>
  <c r="W12" i="6"/>
  <c r="AI13" i="6" l="1"/>
  <c r="AH13" i="6"/>
  <c r="M12" i="6"/>
  <c r="AA12" i="6" s="1"/>
  <c r="E13" i="6"/>
  <c r="C13" i="6"/>
  <c r="D13" i="6" s="1"/>
  <c r="U12" i="6"/>
  <c r="V13" i="6"/>
  <c r="AB13" i="6"/>
  <c r="L13" i="6"/>
  <c r="Y13" i="6"/>
  <c r="H12" i="6"/>
  <c r="T14" i="6"/>
  <c r="K13" i="6"/>
  <c r="J13" i="6"/>
  <c r="P13" i="6"/>
  <c r="R13" i="6" s="1"/>
  <c r="Z13" i="6" s="1"/>
  <c r="X13" i="6"/>
  <c r="N11" i="6"/>
  <c r="AC11" i="6"/>
  <c r="AC10" i="6"/>
  <c r="A15" i="6"/>
  <c r="S14" i="6"/>
  <c r="AE13" i="6"/>
  <c r="AF13" i="6"/>
  <c r="B14" i="6"/>
  <c r="W13" i="6"/>
  <c r="AH14" i="6" l="1"/>
  <c r="AI14" i="6"/>
  <c r="M13" i="6"/>
  <c r="AA13" i="6" s="1"/>
  <c r="C14" i="6"/>
  <c r="D14" i="6" s="1"/>
  <c r="E14" i="6"/>
  <c r="U13" i="6"/>
  <c r="V14" i="6"/>
  <c r="AB14" i="6"/>
  <c r="L14" i="6"/>
  <c r="Y14" i="6"/>
  <c r="H13" i="6"/>
  <c r="T15" i="6"/>
  <c r="K14" i="6"/>
  <c r="J14" i="6"/>
  <c r="P14" i="6"/>
  <c r="R14" i="6" s="1"/>
  <c r="Z14" i="6" s="1"/>
  <c r="X14" i="6"/>
  <c r="N12" i="6"/>
  <c r="AC12" i="6"/>
  <c r="A16" i="6"/>
  <c r="S15" i="6"/>
  <c r="AE14" i="6"/>
  <c r="AF14" i="6"/>
  <c r="B15" i="6"/>
  <c r="W14" i="6"/>
  <c r="AH15" i="6" l="1"/>
  <c r="AI15" i="6"/>
  <c r="C15" i="6"/>
  <c r="D15" i="6" s="1"/>
  <c r="E15" i="6"/>
  <c r="U14" i="6"/>
  <c r="V15" i="6"/>
  <c r="AB15" i="6"/>
  <c r="M14" i="6"/>
  <c r="AA14" i="6" s="1"/>
  <c r="L15" i="6"/>
  <c r="Y15" i="6"/>
  <c r="AC13" i="6"/>
  <c r="T16" i="6"/>
  <c r="H14" i="6"/>
  <c r="K15" i="6"/>
  <c r="J15" i="6"/>
  <c r="P15" i="6"/>
  <c r="R15" i="6" s="1"/>
  <c r="Z15" i="6" s="1"/>
  <c r="X15" i="6"/>
  <c r="A17" i="6"/>
  <c r="S16" i="6"/>
  <c r="N13" i="6"/>
  <c r="AE15" i="6"/>
  <c r="AF15" i="6"/>
  <c r="B16" i="6"/>
  <c r="W15" i="6"/>
  <c r="AI16" i="6" l="1"/>
  <c r="AH16" i="6"/>
  <c r="C16" i="6"/>
  <c r="D16" i="6" s="1"/>
  <c r="E16" i="6"/>
  <c r="U15" i="6"/>
  <c r="AB16" i="6"/>
  <c r="V16" i="6"/>
  <c r="M15" i="6"/>
  <c r="AA15" i="6" s="1"/>
  <c r="L16" i="6"/>
  <c r="Y16" i="6"/>
  <c r="H15" i="6"/>
  <c r="T17" i="6"/>
  <c r="J16" i="6"/>
  <c r="K16" i="6"/>
  <c r="P16" i="6"/>
  <c r="R16" i="6" s="1"/>
  <c r="Z16" i="6" s="1"/>
  <c r="X16" i="6"/>
  <c r="N14" i="6"/>
  <c r="AC14" i="6"/>
  <c r="A18" i="6"/>
  <c r="S17" i="6"/>
  <c r="AE16" i="6"/>
  <c r="AF16" i="6"/>
  <c r="B17" i="6"/>
  <c r="W16" i="6"/>
  <c r="AH17" i="6" l="1"/>
  <c r="AI17" i="6"/>
  <c r="C17" i="6"/>
  <c r="D17" i="6" s="1"/>
  <c r="E17" i="6"/>
  <c r="U16" i="6"/>
  <c r="AB17" i="6"/>
  <c r="V17" i="6"/>
  <c r="M16" i="6"/>
  <c r="AA16" i="6" s="1"/>
  <c r="L17" i="6"/>
  <c r="Y17" i="6"/>
  <c r="H16" i="6"/>
  <c r="T18" i="6"/>
  <c r="J17" i="6"/>
  <c r="K17" i="6"/>
  <c r="P17" i="6"/>
  <c r="R17" i="6" s="1"/>
  <c r="Z17" i="6" s="1"/>
  <c r="X17" i="6"/>
  <c r="N15" i="6"/>
  <c r="AC15" i="6"/>
  <c r="A19" i="6"/>
  <c r="S18" i="6"/>
  <c r="AE17" i="6"/>
  <c r="AF17" i="6"/>
  <c r="B18" i="6"/>
  <c r="W17" i="6"/>
  <c r="AH18" i="6" l="1"/>
  <c r="AI18" i="6"/>
  <c r="M17" i="6"/>
  <c r="AA17" i="6" s="1"/>
  <c r="C18" i="6"/>
  <c r="D18" i="6" s="1"/>
  <c r="E18" i="6"/>
  <c r="U17" i="6"/>
  <c r="AB18" i="6"/>
  <c r="V18" i="6"/>
  <c r="L18" i="6"/>
  <c r="Y18" i="6"/>
  <c r="T19" i="6"/>
  <c r="H17" i="6"/>
  <c r="J18" i="6"/>
  <c r="K18" i="6"/>
  <c r="P18" i="6"/>
  <c r="R18" i="6" s="1"/>
  <c r="Z18" i="6" s="1"/>
  <c r="X18" i="6"/>
  <c r="N16" i="6"/>
  <c r="AC16" i="6"/>
  <c r="A20" i="6"/>
  <c r="S19" i="6"/>
  <c r="AE18" i="6"/>
  <c r="AF18" i="6"/>
  <c r="B19" i="6"/>
  <c r="W18" i="6"/>
  <c r="AH19" i="6" l="1"/>
  <c r="AI19" i="6"/>
  <c r="M18" i="6"/>
  <c r="AA18" i="6" s="1"/>
  <c r="C19" i="6"/>
  <c r="D19" i="6" s="1"/>
  <c r="E19" i="6"/>
  <c r="U18" i="6"/>
  <c r="AB19" i="6"/>
  <c r="V19" i="6"/>
  <c r="L19" i="6"/>
  <c r="Y19" i="6"/>
  <c r="H18" i="6"/>
  <c r="T20" i="6"/>
  <c r="J19" i="6"/>
  <c r="K19" i="6"/>
  <c r="P19" i="6"/>
  <c r="R19" i="6" s="1"/>
  <c r="Z19" i="6" s="1"/>
  <c r="X19" i="6"/>
  <c r="N17" i="6"/>
  <c r="AC17" i="6"/>
  <c r="A21" i="6"/>
  <c r="S20" i="6"/>
  <c r="AE19" i="6"/>
  <c r="AF19" i="6"/>
  <c r="B20" i="6"/>
  <c r="W19" i="6"/>
  <c r="AI20" i="6" l="1"/>
  <c r="AH20" i="6"/>
  <c r="M19" i="6"/>
  <c r="AA19" i="6" s="1"/>
  <c r="E20" i="6"/>
  <c r="C20" i="6"/>
  <c r="D20" i="6" s="1"/>
  <c r="H19" i="6"/>
  <c r="U19" i="6"/>
  <c r="V20" i="6"/>
  <c r="AB20" i="6"/>
  <c r="L20" i="6"/>
  <c r="Y20" i="6"/>
  <c r="T21" i="6"/>
  <c r="J20" i="6"/>
  <c r="K20" i="6"/>
  <c r="P20" i="6"/>
  <c r="R20" i="6" s="1"/>
  <c r="Z20" i="6" s="1"/>
  <c r="X20" i="6"/>
  <c r="N18" i="6"/>
  <c r="A22" i="6"/>
  <c r="S21" i="6"/>
  <c r="AE20" i="6"/>
  <c r="AF20" i="6"/>
  <c r="B21" i="6"/>
  <c r="W20" i="6"/>
  <c r="AH21" i="6" l="1"/>
  <c r="AI21" i="6"/>
  <c r="M20" i="6"/>
  <c r="AA20" i="6" s="1"/>
  <c r="E21" i="6"/>
  <c r="C21" i="6"/>
  <c r="D21" i="6" s="1"/>
  <c r="U20" i="6"/>
  <c r="V21" i="6"/>
  <c r="AB21" i="6"/>
  <c r="L21" i="6"/>
  <c r="Y21" i="6"/>
  <c r="T22" i="6"/>
  <c r="H20" i="6"/>
  <c r="K21" i="6"/>
  <c r="J21" i="6"/>
  <c r="P21" i="6"/>
  <c r="R21" i="6" s="1"/>
  <c r="Z21" i="6" s="1"/>
  <c r="X21" i="6"/>
  <c r="N19" i="6"/>
  <c r="AC19" i="6"/>
  <c r="A23" i="6"/>
  <c r="S22" i="6"/>
  <c r="AE21" i="6"/>
  <c r="AF21" i="6"/>
  <c r="B22" i="6"/>
  <c r="W21" i="6"/>
  <c r="AI22" i="6" l="1"/>
  <c r="AH22" i="6"/>
  <c r="C22" i="6"/>
  <c r="D22" i="6" s="1"/>
  <c r="E22" i="6"/>
  <c r="U21" i="6"/>
  <c r="V22" i="6"/>
  <c r="AB22" i="6"/>
  <c r="M21" i="6"/>
  <c r="AA21" i="6" s="1"/>
  <c r="L22" i="6"/>
  <c r="Y22" i="6"/>
  <c r="T23" i="6"/>
  <c r="H21" i="6"/>
  <c r="K22" i="6"/>
  <c r="J22" i="6"/>
  <c r="P22" i="6"/>
  <c r="R22" i="6" s="1"/>
  <c r="Z22" i="6" s="1"/>
  <c r="X22" i="6"/>
  <c r="N20" i="6"/>
  <c r="A24" i="6"/>
  <c r="S23" i="6"/>
  <c r="AE22" i="6"/>
  <c r="AF22" i="6"/>
  <c r="B23" i="6"/>
  <c r="W22" i="6"/>
  <c r="AH23" i="6" l="1"/>
  <c r="AI23" i="6"/>
  <c r="M22" i="6"/>
  <c r="AA22" i="6" s="1"/>
  <c r="C23" i="6"/>
  <c r="D23" i="6" s="1"/>
  <c r="E23" i="6"/>
  <c r="U22" i="6"/>
  <c r="V23" i="6"/>
  <c r="AB23" i="6"/>
  <c r="L23" i="6"/>
  <c r="Y23" i="6"/>
  <c r="T24" i="6"/>
  <c r="H22" i="6"/>
  <c r="K23" i="6"/>
  <c r="J23" i="6"/>
  <c r="P23" i="6"/>
  <c r="R23" i="6" s="1"/>
  <c r="Z23" i="6" s="1"/>
  <c r="X23" i="6"/>
  <c r="N21" i="6"/>
  <c r="A25" i="6"/>
  <c r="S24" i="6"/>
  <c r="AE23" i="6"/>
  <c r="AF23" i="6"/>
  <c r="B24" i="6"/>
  <c r="W23" i="6"/>
  <c r="AI24" i="6" l="1"/>
  <c r="AH24" i="6"/>
  <c r="C24" i="6"/>
  <c r="D24" i="6" s="1"/>
  <c r="E24" i="6"/>
  <c r="U23" i="6"/>
  <c r="AB24" i="6"/>
  <c r="V24" i="6"/>
  <c r="M23" i="6"/>
  <c r="AA23" i="6" s="1"/>
  <c r="L24" i="6"/>
  <c r="Y24" i="6"/>
  <c r="T25" i="6"/>
  <c r="H23" i="6"/>
  <c r="J24" i="6"/>
  <c r="K24" i="6"/>
  <c r="P24" i="6"/>
  <c r="R24" i="6" s="1"/>
  <c r="Z24" i="6" s="1"/>
  <c r="X24" i="6"/>
  <c r="N22" i="6"/>
  <c r="AC22" i="6"/>
  <c r="A26" i="6"/>
  <c r="S25" i="6"/>
  <c r="AE24" i="6"/>
  <c r="AF24" i="6"/>
  <c r="B25" i="6"/>
  <c r="W24" i="6"/>
  <c r="AH25" i="6" l="1"/>
  <c r="AI25" i="6"/>
  <c r="C25" i="6"/>
  <c r="D25" i="6" s="1"/>
  <c r="E25" i="6"/>
  <c r="U24" i="6"/>
  <c r="AB25" i="6"/>
  <c r="V25" i="6"/>
  <c r="M24" i="6"/>
  <c r="AA24" i="6" s="1"/>
  <c r="L25" i="6"/>
  <c r="Y25" i="6"/>
  <c r="H24" i="6"/>
  <c r="T26" i="6"/>
  <c r="J25" i="6"/>
  <c r="K25" i="6"/>
  <c r="P25" i="6"/>
  <c r="R25" i="6" s="1"/>
  <c r="Z25" i="6" s="1"/>
  <c r="X25" i="6"/>
  <c r="N23" i="6"/>
  <c r="AC23" i="6"/>
  <c r="A27" i="6"/>
  <c r="S26" i="6"/>
  <c r="AE25" i="6"/>
  <c r="AF25" i="6"/>
  <c r="B26" i="6"/>
  <c r="W25" i="6"/>
  <c r="AH26" i="6" l="1"/>
  <c r="AI26" i="6"/>
  <c r="C26" i="6"/>
  <c r="D26" i="6" s="1"/>
  <c r="E26" i="6"/>
  <c r="U25" i="6"/>
  <c r="AB26" i="6"/>
  <c r="V26" i="6"/>
  <c r="M25" i="6"/>
  <c r="AA25" i="6" s="1"/>
  <c r="L26" i="6"/>
  <c r="Y26" i="6"/>
  <c r="H25" i="6"/>
  <c r="T27" i="6"/>
  <c r="J26" i="6"/>
  <c r="K26" i="6"/>
  <c r="P26" i="6"/>
  <c r="R26" i="6" s="1"/>
  <c r="Z26" i="6" s="1"/>
  <c r="X26" i="6"/>
  <c r="N24" i="6"/>
  <c r="AC24" i="6"/>
  <c r="A28" i="6"/>
  <c r="S27" i="6"/>
  <c r="AE26" i="6"/>
  <c r="AF26" i="6"/>
  <c r="B27" i="6"/>
  <c r="W26" i="6"/>
  <c r="AH27" i="6" l="1"/>
  <c r="AI27" i="6"/>
  <c r="C27" i="6"/>
  <c r="D27" i="6" s="1"/>
  <c r="E27" i="6"/>
  <c r="U26" i="6"/>
  <c r="AB27" i="6"/>
  <c r="V27" i="6"/>
  <c r="M26" i="6"/>
  <c r="AA26" i="6" s="1"/>
  <c r="H26" i="6"/>
  <c r="L27" i="6"/>
  <c r="Y27" i="6"/>
  <c r="T28" i="6"/>
  <c r="J27" i="6"/>
  <c r="K27" i="6"/>
  <c r="P27" i="6"/>
  <c r="R27" i="6" s="1"/>
  <c r="Z27" i="6" s="1"/>
  <c r="X27" i="6"/>
  <c r="N25" i="6"/>
  <c r="AC25" i="6"/>
  <c r="A29" i="6"/>
  <c r="S28" i="6"/>
  <c r="AE27" i="6"/>
  <c r="AF27" i="6"/>
  <c r="B28" i="6"/>
  <c r="W27" i="6"/>
  <c r="AH28" i="6" l="1"/>
  <c r="AI28" i="6"/>
  <c r="M27" i="6"/>
  <c r="AA27" i="6" s="1"/>
  <c r="E28" i="6"/>
  <c r="C28" i="6"/>
  <c r="D28" i="6" s="1"/>
  <c r="U27" i="6"/>
  <c r="V28" i="6"/>
  <c r="AB28" i="6"/>
  <c r="L28" i="6"/>
  <c r="Y28" i="6"/>
  <c r="H27" i="6"/>
  <c r="T29" i="6"/>
  <c r="J28" i="6"/>
  <c r="K28" i="6"/>
  <c r="P28" i="6"/>
  <c r="R28" i="6" s="1"/>
  <c r="Z28" i="6" s="1"/>
  <c r="X28" i="6"/>
  <c r="N26" i="6"/>
  <c r="AC26" i="6"/>
  <c r="A30" i="6"/>
  <c r="S29" i="6"/>
  <c r="AE28" i="6"/>
  <c r="AF28" i="6"/>
  <c r="B29" i="6"/>
  <c r="W28" i="6"/>
  <c r="AI29" i="6" l="1"/>
  <c r="AH29" i="6"/>
  <c r="M28" i="6"/>
  <c r="AA28" i="6" s="1"/>
  <c r="E29" i="6"/>
  <c r="C29" i="6"/>
  <c r="D29" i="6" s="1"/>
  <c r="U28" i="6"/>
  <c r="V29" i="6"/>
  <c r="AB29" i="6"/>
  <c r="L29" i="6"/>
  <c r="Y29" i="6"/>
  <c r="T30" i="6"/>
  <c r="H28" i="6"/>
  <c r="K29" i="6"/>
  <c r="J29" i="6"/>
  <c r="P29" i="6"/>
  <c r="R29" i="6" s="1"/>
  <c r="Z29" i="6" s="1"/>
  <c r="X29" i="6"/>
  <c r="N27" i="6"/>
  <c r="AC27" i="6"/>
  <c r="A31" i="6"/>
  <c r="S30" i="6"/>
  <c r="AE29" i="6"/>
  <c r="AF29" i="6"/>
  <c r="B30" i="6"/>
  <c r="W29" i="6"/>
  <c r="AI30" i="6" l="1"/>
  <c r="AH30" i="6"/>
  <c r="M29" i="6"/>
  <c r="AA29" i="6" s="1"/>
  <c r="C30" i="6"/>
  <c r="D30" i="6" s="1"/>
  <c r="E30" i="6"/>
  <c r="U29" i="6"/>
  <c r="V30" i="6"/>
  <c r="AB30" i="6"/>
  <c r="L30" i="6"/>
  <c r="Y30" i="6"/>
  <c r="H29" i="6"/>
  <c r="T31" i="6"/>
  <c r="K30" i="6"/>
  <c r="J30" i="6"/>
  <c r="P30" i="6"/>
  <c r="R30" i="6" s="1"/>
  <c r="Z30" i="6" s="1"/>
  <c r="X30" i="6"/>
  <c r="N28" i="6"/>
  <c r="A32" i="6"/>
  <c r="S31" i="6"/>
  <c r="AE30" i="6"/>
  <c r="AF30" i="6"/>
  <c r="B31" i="6"/>
  <c r="W30" i="6"/>
  <c r="AH31" i="6" l="1"/>
  <c r="AI31" i="6"/>
  <c r="M30" i="6"/>
  <c r="AA30" i="6" s="1"/>
  <c r="C31" i="6"/>
  <c r="D31" i="6" s="1"/>
  <c r="E31" i="6"/>
  <c r="U30" i="6"/>
  <c r="V31" i="6"/>
  <c r="AB31" i="6"/>
  <c r="L31" i="6"/>
  <c r="Y31" i="6"/>
  <c r="H30" i="6"/>
  <c r="T32" i="6"/>
  <c r="X31" i="6"/>
  <c r="K31" i="6"/>
  <c r="J31" i="6"/>
  <c r="P31" i="6"/>
  <c r="R31" i="6" s="1"/>
  <c r="Z31" i="6" s="1"/>
  <c r="W31" i="6"/>
  <c r="N29" i="6"/>
  <c r="AC29" i="6"/>
  <c r="A33" i="6"/>
  <c r="S32" i="6"/>
  <c r="AE31" i="6"/>
  <c r="AF31" i="6"/>
  <c r="B32" i="6"/>
  <c r="AI32" i="6" l="1"/>
  <c r="AH32" i="6"/>
  <c r="M31" i="6"/>
  <c r="AA31" i="6" s="1"/>
  <c r="C32" i="6"/>
  <c r="D32" i="6" s="1"/>
  <c r="E32" i="6"/>
  <c r="U31" i="6"/>
  <c r="AB32" i="6"/>
  <c r="V32" i="6"/>
  <c r="L32" i="6"/>
  <c r="Y32" i="6"/>
  <c r="H31" i="6"/>
  <c r="T33" i="6"/>
  <c r="J32" i="6"/>
  <c r="K32" i="6"/>
  <c r="P32" i="6"/>
  <c r="R32" i="6" s="1"/>
  <c r="Z32" i="6" s="1"/>
  <c r="X32" i="6"/>
  <c r="N30" i="6"/>
  <c r="A34" i="6"/>
  <c r="S33" i="6"/>
  <c r="AE32" i="6"/>
  <c r="AF32" i="6"/>
  <c r="B33" i="6"/>
  <c r="W32" i="6"/>
  <c r="AH33" i="6" l="1"/>
  <c r="AI33" i="6"/>
  <c r="M32" i="6"/>
  <c r="AA32" i="6" s="1"/>
  <c r="C33" i="6"/>
  <c r="D33" i="6" s="1"/>
  <c r="E33" i="6"/>
  <c r="U32" i="6"/>
  <c r="AB33" i="6"/>
  <c r="V33" i="6"/>
  <c r="L33" i="6"/>
  <c r="Y33" i="6"/>
  <c r="H32" i="6"/>
  <c r="T34" i="6"/>
  <c r="J33" i="6"/>
  <c r="K33" i="6"/>
  <c r="P33" i="6"/>
  <c r="R33" i="6" s="1"/>
  <c r="Z33" i="6" s="1"/>
  <c r="X33" i="6"/>
  <c r="N31" i="6"/>
  <c r="AC31" i="6"/>
  <c r="A35" i="6"/>
  <c r="S34" i="6"/>
  <c r="AE33" i="6"/>
  <c r="AF33" i="6"/>
  <c r="B34" i="6"/>
  <c r="W33" i="6"/>
  <c r="U33" i="6" l="1"/>
  <c r="AH34" i="6"/>
  <c r="AI34" i="6"/>
  <c r="M33" i="6"/>
  <c r="AA33" i="6" s="1"/>
  <c r="C34" i="6"/>
  <c r="D34" i="6" s="1"/>
  <c r="E34" i="6"/>
  <c r="AB34" i="6"/>
  <c r="V34" i="6"/>
  <c r="L34" i="6"/>
  <c r="Y34" i="6"/>
  <c r="H33" i="6"/>
  <c r="T35" i="6"/>
  <c r="J34" i="6"/>
  <c r="K34" i="6"/>
  <c r="P34" i="6"/>
  <c r="R34" i="6" s="1"/>
  <c r="Z34" i="6" s="1"/>
  <c r="U34" i="6"/>
  <c r="X34" i="6"/>
  <c r="N32" i="6"/>
  <c r="AC32" i="6"/>
  <c r="A36" i="6"/>
  <c r="S35" i="6"/>
  <c r="AE34" i="6"/>
  <c r="AF34" i="6"/>
  <c r="B35" i="6"/>
  <c r="W34" i="6"/>
  <c r="AH35" i="6" l="1"/>
  <c r="AI35" i="6"/>
  <c r="C35" i="6"/>
  <c r="D35" i="6" s="1"/>
  <c r="E35" i="6"/>
  <c r="AB35" i="6"/>
  <c r="V35" i="6"/>
  <c r="M34" i="6"/>
  <c r="AA34" i="6" s="1"/>
  <c r="L35" i="6"/>
  <c r="Y35" i="6"/>
  <c r="T36" i="6"/>
  <c r="H34" i="6"/>
  <c r="J35" i="6"/>
  <c r="K35" i="6"/>
  <c r="P35" i="6"/>
  <c r="R35" i="6" s="1"/>
  <c r="Z35" i="6" s="1"/>
  <c r="U35" i="6"/>
  <c r="X35" i="6"/>
  <c r="N33" i="6"/>
  <c r="AC33" i="6"/>
  <c r="A37" i="6"/>
  <c r="S36" i="6"/>
  <c r="AE35" i="6"/>
  <c r="AF35" i="6"/>
  <c r="B36" i="6"/>
  <c r="W35" i="6"/>
  <c r="AI36" i="6" l="1"/>
  <c r="AH36" i="6"/>
  <c r="E36" i="6"/>
  <c r="C36" i="6"/>
  <c r="D36" i="6" s="1"/>
  <c r="V36" i="6"/>
  <c r="AB36" i="6"/>
  <c r="M35" i="6"/>
  <c r="AA35" i="6" s="1"/>
  <c r="L36" i="6"/>
  <c r="Y36" i="6"/>
  <c r="T37" i="6"/>
  <c r="H35" i="6"/>
  <c r="J36" i="6"/>
  <c r="K36" i="6"/>
  <c r="P36" i="6"/>
  <c r="R36" i="6" s="1"/>
  <c r="Z36" i="6" s="1"/>
  <c r="U36" i="6"/>
  <c r="X36" i="6"/>
  <c r="N34" i="6"/>
  <c r="AC34" i="6"/>
  <c r="A38" i="6"/>
  <c r="S37" i="6"/>
  <c r="AE36" i="6"/>
  <c r="AF36" i="6"/>
  <c r="B37" i="6"/>
  <c r="W36" i="6"/>
  <c r="AH37" i="6" l="1"/>
  <c r="AI37" i="6"/>
  <c r="E37" i="6"/>
  <c r="C37" i="6"/>
  <c r="D37" i="6" s="1"/>
  <c r="V37" i="6"/>
  <c r="AB37" i="6"/>
  <c r="M36" i="6"/>
  <c r="AA36" i="6" s="1"/>
  <c r="L37" i="6"/>
  <c r="Y37" i="6"/>
  <c r="T38" i="6"/>
  <c r="H36" i="6"/>
  <c r="K37" i="6"/>
  <c r="J37" i="6"/>
  <c r="P37" i="6"/>
  <c r="R37" i="6" s="1"/>
  <c r="Z37" i="6" s="1"/>
  <c r="X37" i="6"/>
  <c r="N35" i="6"/>
  <c r="AC35" i="6"/>
  <c r="A39" i="6"/>
  <c r="S38" i="6"/>
  <c r="AE37" i="6"/>
  <c r="AF37" i="6"/>
  <c r="B38" i="6"/>
  <c r="W37" i="6"/>
  <c r="U37" i="6" l="1"/>
  <c r="AH38" i="6"/>
  <c r="AI38" i="6"/>
  <c r="M37" i="6"/>
  <c r="AA37" i="6" s="1"/>
  <c r="E38" i="6"/>
  <c r="C38" i="6"/>
  <c r="D38" i="6" s="1"/>
  <c r="V38" i="6"/>
  <c r="AB38" i="6"/>
  <c r="L38" i="6"/>
  <c r="Y38" i="6"/>
  <c r="T39" i="6"/>
  <c r="H37" i="6"/>
  <c r="K38" i="6"/>
  <c r="J38" i="6"/>
  <c r="P38" i="6"/>
  <c r="R38" i="6" s="1"/>
  <c r="Z38" i="6" s="1"/>
  <c r="X38" i="6"/>
  <c r="N36" i="6"/>
  <c r="AC36" i="6"/>
  <c r="A40" i="6"/>
  <c r="S39" i="6"/>
  <c r="AE38" i="6"/>
  <c r="AF38" i="6"/>
  <c r="B39" i="6"/>
  <c r="W38" i="6"/>
  <c r="AH39" i="6" l="1"/>
  <c r="AI39" i="6"/>
  <c r="U38" i="6"/>
  <c r="C39" i="6"/>
  <c r="D39" i="6" s="1"/>
  <c r="E39" i="6"/>
  <c r="V39" i="6"/>
  <c r="AB39" i="6"/>
  <c r="M38" i="6"/>
  <c r="AA38" i="6" s="1"/>
  <c r="L39" i="6"/>
  <c r="Y39" i="6"/>
  <c r="T40" i="6"/>
  <c r="H38" i="6"/>
  <c r="K39" i="6"/>
  <c r="J39" i="6"/>
  <c r="P39" i="6"/>
  <c r="R39" i="6" s="1"/>
  <c r="Z39" i="6" s="1"/>
  <c r="X39" i="6"/>
  <c r="N37" i="6"/>
  <c r="AC37" i="6"/>
  <c r="A41" i="6"/>
  <c r="S40" i="6"/>
  <c r="AE39" i="6"/>
  <c r="AF39" i="6"/>
  <c r="B40" i="6"/>
  <c r="W39" i="6"/>
  <c r="AH40" i="6" l="1"/>
  <c r="AI40" i="6"/>
  <c r="U39" i="6"/>
  <c r="M39" i="6"/>
  <c r="AA39" i="6" s="1"/>
  <c r="C40" i="6"/>
  <c r="D40" i="6" s="1"/>
  <c r="E40" i="6"/>
  <c r="AB40" i="6"/>
  <c r="V40" i="6"/>
  <c r="L40" i="6"/>
  <c r="Y40" i="6"/>
  <c r="T41" i="6"/>
  <c r="H39" i="6"/>
  <c r="J40" i="6"/>
  <c r="K40" i="6"/>
  <c r="P40" i="6"/>
  <c r="R40" i="6" s="1"/>
  <c r="Z40" i="6" s="1"/>
  <c r="U40" i="6"/>
  <c r="X40" i="6"/>
  <c r="N38" i="6"/>
  <c r="AC38" i="6"/>
  <c r="A42" i="6"/>
  <c r="S41" i="6"/>
  <c r="AE40" i="6"/>
  <c r="AF40" i="6"/>
  <c r="B41" i="6"/>
  <c r="W40" i="6"/>
  <c r="AH41" i="6" l="1"/>
  <c r="AI41" i="6"/>
  <c r="M40" i="6"/>
  <c r="AA40" i="6" s="1"/>
  <c r="C41" i="6"/>
  <c r="D41" i="6" s="1"/>
  <c r="E41" i="6"/>
  <c r="AB41" i="6"/>
  <c r="V41" i="6"/>
  <c r="L41" i="6"/>
  <c r="Y41" i="6"/>
  <c r="T42" i="6"/>
  <c r="H40" i="6"/>
  <c r="J41" i="6"/>
  <c r="K41" i="6"/>
  <c r="P41" i="6"/>
  <c r="R41" i="6" s="1"/>
  <c r="Z41" i="6" s="1"/>
  <c r="X41" i="6"/>
  <c r="N39" i="6"/>
  <c r="AC39" i="6"/>
  <c r="A43" i="6"/>
  <c r="S42" i="6"/>
  <c r="AE41" i="6"/>
  <c r="AF41" i="6"/>
  <c r="B42" i="6"/>
  <c r="W41" i="6"/>
  <c r="AI42" i="6" l="1"/>
  <c r="AH42" i="6"/>
  <c r="U41" i="6"/>
  <c r="M41" i="6"/>
  <c r="AA41" i="6" s="1"/>
  <c r="C42" i="6"/>
  <c r="D42" i="6" s="1"/>
  <c r="E42" i="6"/>
  <c r="V42" i="6"/>
  <c r="AB42" i="6"/>
  <c r="L42" i="6"/>
  <c r="Y42" i="6"/>
  <c r="T43" i="6"/>
  <c r="H41" i="6"/>
  <c r="J42" i="6"/>
  <c r="K42" i="6"/>
  <c r="P42" i="6"/>
  <c r="R42" i="6" s="1"/>
  <c r="Z42" i="6" s="1"/>
  <c r="U42" i="6"/>
  <c r="X42" i="6"/>
  <c r="N40" i="6"/>
  <c r="AC40" i="6"/>
  <c r="A44" i="6"/>
  <c r="S43" i="6"/>
  <c r="AE42" i="6"/>
  <c r="AF42" i="6"/>
  <c r="B43" i="6"/>
  <c r="W42" i="6"/>
  <c r="AH43" i="6" l="1"/>
  <c r="AI43" i="6"/>
  <c r="M42" i="6"/>
  <c r="AA42" i="6" s="1"/>
  <c r="C43" i="6"/>
  <c r="D43" i="6" s="1"/>
  <c r="E43" i="6"/>
  <c r="AB43" i="6"/>
  <c r="V43" i="6"/>
  <c r="L43" i="6"/>
  <c r="Y43" i="6"/>
  <c r="T44" i="6"/>
  <c r="H42" i="6"/>
  <c r="J43" i="6"/>
  <c r="K43" i="6"/>
  <c r="P43" i="6"/>
  <c r="R43" i="6" s="1"/>
  <c r="Z43" i="6" s="1"/>
  <c r="X43" i="6"/>
  <c r="N41" i="6"/>
  <c r="AC41" i="6"/>
  <c r="A45" i="6"/>
  <c r="S44" i="6"/>
  <c r="AE43" i="6"/>
  <c r="AF43" i="6"/>
  <c r="B44" i="6"/>
  <c r="W43" i="6"/>
  <c r="AI44" i="6" l="1"/>
  <c r="AH44" i="6"/>
  <c r="U43" i="6"/>
  <c r="M43" i="6"/>
  <c r="AA43" i="6" s="1"/>
  <c r="E44" i="6"/>
  <c r="C44" i="6"/>
  <c r="D44" i="6" s="1"/>
  <c r="V44" i="6"/>
  <c r="AB44" i="6"/>
  <c r="L44" i="6"/>
  <c r="Y44" i="6"/>
  <c r="T45" i="6"/>
  <c r="H43" i="6"/>
  <c r="J44" i="6"/>
  <c r="K44" i="6"/>
  <c r="P44" i="6"/>
  <c r="R44" i="6" s="1"/>
  <c r="Z44" i="6" s="1"/>
  <c r="X44" i="6"/>
  <c r="N42" i="6"/>
  <c r="AC42" i="6"/>
  <c r="A46" i="6"/>
  <c r="S45" i="6"/>
  <c r="AE44" i="6"/>
  <c r="AF44" i="6"/>
  <c r="B45" i="6"/>
  <c r="W44" i="6"/>
  <c r="AH45" i="6" l="1"/>
  <c r="AI45" i="6"/>
  <c r="U44" i="6"/>
  <c r="M44" i="6"/>
  <c r="AA44" i="6" s="1"/>
  <c r="E45" i="6"/>
  <c r="C45" i="6"/>
  <c r="D45" i="6" s="1"/>
  <c r="V45" i="6"/>
  <c r="AB45" i="6"/>
  <c r="L45" i="6"/>
  <c r="Y45" i="6"/>
  <c r="T46" i="6"/>
  <c r="H44" i="6"/>
  <c r="K45" i="6"/>
  <c r="J45" i="6"/>
  <c r="P45" i="6"/>
  <c r="R45" i="6" s="1"/>
  <c r="Z45" i="6" s="1"/>
  <c r="X45" i="6"/>
  <c r="N43" i="6"/>
  <c r="AC43" i="6"/>
  <c r="A47" i="6"/>
  <c r="S46" i="6"/>
  <c r="AE45" i="6"/>
  <c r="AF45" i="6"/>
  <c r="B46" i="6"/>
  <c r="W45" i="6"/>
  <c r="AH46" i="6" l="1"/>
  <c r="AI46" i="6"/>
  <c r="U45" i="6"/>
  <c r="C46" i="6"/>
  <c r="D46" i="6" s="1"/>
  <c r="E46" i="6"/>
  <c r="Z46" i="6"/>
  <c r="V46" i="6"/>
  <c r="AA46" i="6"/>
  <c r="AB46" i="6"/>
  <c r="M45" i="6"/>
  <c r="AA45" i="6" s="1"/>
  <c r="L46" i="6"/>
  <c r="Y46" i="6"/>
  <c r="T47" i="6"/>
  <c r="H45" i="6"/>
  <c r="K46" i="6"/>
  <c r="J46" i="6"/>
  <c r="P46" i="6"/>
  <c r="R46" i="6" s="1"/>
  <c r="U46" i="6"/>
  <c r="X46" i="6"/>
  <c r="N44" i="6"/>
  <c r="AC44" i="6"/>
  <c r="A48" i="6"/>
  <c r="S47" i="6"/>
  <c r="AE46" i="6"/>
  <c r="AF46" i="6"/>
  <c r="B47" i="6"/>
  <c r="W46" i="6"/>
  <c r="C47" i="6" l="1"/>
  <c r="D47" i="6" s="1"/>
  <c r="AH47" i="6"/>
  <c r="AI47" i="6"/>
  <c r="E47" i="6"/>
  <c r="Z47" i="6"/>
  <c r="V47" i="6"/>
  <c r="AB47" i="6"/>
  <c r="AA47" i="6"/>
  <c r="M46" i="6"/>
  <c r="L47" i="6"/>
  <c r="Y47" i="6"/>
  <c r="T48" i="6"/>
  <c r="H46" i="6"/>
  <c r="K47" i="6"/>
  <c r="J47" i="6"/>
  <c r="P47" i="6"/>
  <c r="R47" i="6" s="1"/>
  <c r="U47" i="6"/>
  <c r="X47" i="6"/>
  <c r="N45" i="6"/>
  <c r="AC45" i="6"/>
  <c r="A49" i="6"/>
  <c r="S48" i="6"/>
  <c r="AE47" i="6"/>
  <c r="AF47" i="6"/>
  <c r="B48" i="6"/>
  <c r="W47" i="6"/>
  <c r="AH48" i="6" l="1"/>
  <c r="AI48" i="6"/>
  <c r="M47" i="6"/>
  <c r="C48" i="6"/>
  <c r="D48" i="6" s="1"/>
  <c r="E48" i="6"/>
  <c r="AB48" i="6"/>
  <c r="AA48" i="6"/>
  <c r="Z48" i="6"/>
  <c r="V48" i="6"/>
  <c r="L48" i="6"/>
  <c r="Y48" i="6"/>
  <c r="T49" i="6"/>
  <c r="H47" i="6"/>
  <c r="J48" i="6"/>
  <c r="K48" i="6"/>
  <c r="P48" i="6"/>
  <c r="R48" i="6" s="1"/>
  <c r="U48" i="6"/>
  <c r="X48" i="6"/>
  <c r="N46" i="6"/>
  <c r="AC46" i="6"/>
  <c r="A50" i="6"/>
  <c r="S49" i="6"/>
  <c r="AE48" i="6"/>
  <c r="AF48" i="6"/>
  <c r="B49" i="6"/>
  <c r="W48" i="6"/>
  <c r="AH49" i="6" l="1"/>
  <c r="AI49" i="6"/>
  <c r="M48" i="6"/>
  <c r="C49" i="6"/>
  <c r="D49" i="6" s="1"/>
  <c r="E49" i="6"/>
  <c r="AB49" i="6"/>
  <c r="AA49" i="6"/>
  <c r="Z49" i="6"/>
  <c r="V49" i="6"/>
  <c r="L49" i="6"/>
  <c r="Y49" i="6"/>
  <c r="H48" i="6"/>
  <c r="T50" i="6"/>
  <c r="J49" i="6"/>
  <c r="K49" i="6"/>
  <c r="P49" i="6"/>
  <c r="R49" i="6" s="1"/>
  <c r="U49" i="6"/>
  <c r="X49" i="6"/>
  <c r="N47" i="6"/>
  <c r="AC47" i="6"/>
  <c r="A51" i="6"/>
  <c r="S50" i="6"/>
  <c r="AE49" i="6"/>
  <c r="AF49" i="6"/>
  <c r="B50" i="6"/>
  <c r="W49" i="6"/>
  <c r="AH50" i="6" l="1"/>
  <c r="AI50" i="6"/>
  <c r="M49" i="6"/>
  <c r="C50" i="6"/>
  <c r="D50" i="6" s="1"/>
  <c r="E50" i="6"/>
  <c r="AB50" i="6"/>
  <c r="AA50" i="6"/>
  <c r="V50" i="6"/>
  <c r="Z50" i="6"/>
  <c r="L50" i="6"/>
  <c r="Y50" i="6"/>
  <c r="H49" i="6"/>
  <c r="T51" i="6"/>
  <c r="J50" i="6"/>
  <c r="K50" i="6"/>
  <c r="P50" i="6"/>
  <c r="R50" i="6" s="1"/>
  <c r="U50" i="6"/>
  <c r="X50" i="6"/>
  <c r="N48" i="6"/>
  <c r="AC48" i="6"/>
  <c r="A52" i="6"/>
  <c r="S51" i="6"/>
  <c r="AE50" i="6"/>
  <c r="AF50" i="6"/>
  <c r="B51" i="6"/>
  <c r="W50" i="6"/>
  <c r="AH51" i="6" l="1"/>
  <c r="AI51" i="6"/>
  <c r="M50" i="6"/>
  <c r="C51" i="6"/>
  <c r="D51" i="6" s="1"/>
  <c r="E51" i="6"/>
  <c r="AB51" i="6"/>
  <c r="AA51" i="6"/>
  <c r="Z51" i="6"/>
  <c r="V51" i="6"/>
  <c r="L51" i="6"/>
  <c r="Y51" i="6"/>
  <c r="H50" i="6"/>
  <c r="T52" i="6"/>
  <c r="J51" i="6"/>
  <c r="K51" i="6"/>
  <c r="P51" i="6"/>
  <c r="R51" i="6" s="1"/>
  <c r="U51" i="6"/>
  <c r="X51" i="6"/>
  <c r="N49" i="6"/>
  <c r="AC49" i="6"/>
  <c r="A53" i="6"/>
  <c r="S52" i="6"/>
  <c r="AE51" i="6"/>
  <c r="AF51" i="6"/>
  <c r="B52" i="6"/>
  <c r="W51" i="6"/>
  <c r="AI52" i="6" l="1"/>
  <c r="AH52" i="6"/>
  <c r="U52" i="6" s="1"/>
  <c r="M51" i="6"/>
  <c r="E52" i="6"/>
  <c r="C52" i="6"/>
  <c r="D52" i="6" s="1"/>
  <c r="Z52" i="6"/>
  <c r="V52" i="6"/>
  <c r="AB52" i="6"/>
  <c r="AA52" i="6"/>
  <c r="L52" i="6"/>
  <c r="Y52" i="6"/>
  <c r="T53" i="6"/>
  <c r="H51" i="6"/>
  <c r="J52" i="6"/>
  <c r="K52" i="6"/>
  <c r="P52" i="6"/>
  <c r="R52" i="6" s="1"/>
  <c r="X52" i="6"/>
  <c r="N50" i="6"/>
  <c r="AC50" i="6"/>
  <c r="A54" i="6"/>
  <c r="S53" i="6"/>
  <c r="AE52" i="6"/>
  <c r="AF52" i="6"/>
  <c r="B53" i="6"/>
  <c r="W52" i="6"/>
  <c r="AH53" i="6" l="1"/>
  <c r="U53" i="6" s="1"/>
  <c r="AI53" i="6"/>
  <c r="M52" i="6"/>
  <c r="E53" i="6"/>
  <c r="C53" i="6"/>
  <c r="D53" i="6" s="1"/>
  <c r="Z53" i="6"/>
  <c r="V53" i="6"/>
  <c r="AB53" i="6"/>
  <c r="AA53" i="6"/>
  <c r="L53" i="6"/>
  <c r="Y53" i="6"/>
  <c r="T54" i="6"/>
  <c r="H52" i="6"/>
  <c r="K53" i="6"/>
  <c r="J53" i="6"/>
  <c r="P53" i="6"/>
  <c r="R53" i="6" s="1"/>
  <c r="X53" i="6"/>
  <c r="N51" i="6"/>
  <c r="AC51" i="6"/>
  <c r="A55" i="6"/>
  <c r="S54" i="6"/>
  <c r="AE53" i="6"/>
  <c r="AF53" i="6"/>
  <c r="B54" i="6"/>
  <c r="W53" i="6"/>
  <c r="AH54" i="6" l="1"/>
  <c r="AI54" i="6"/>
  <c r="E54" i="6"/>
  <c r="C54" i="6"/>
  <c r="D54" i="6" s="1"/>
  <c r="AA54" i="6"/>
  <c r="Z54" i="6"/>
  <c r="V54" i="6"/>
  <c r="AB54" i="6"/>
  <c r="M53" i="6"/>
  <c r="L54" i="6"/>
  <c r="Y54" i="6"/>
  <c r="T55" i="6"/>
  <c r="H53" i="6"/>
  <c r="K54" i="6"/>
  <c r="J54" i="6"/>
  <c r="P54" i="6"/>
  <c r="R54" i="6" s="1"/>
  <c r="U54" i="6"/>
  <c r="X54" i="6"/>
  <c r="N52" i="6"/>
  <c r="AC52" i="6"/>
  <c r="A56" i="6"/>
  <c r="S55" i="6"/>
  <c r="AE54" i="6"/>
  <c r="AF54" i="6"/>
  <c r="B55" i="6"/>
  <c r="W54" i="6"/>
  <c r="AH55" i="6" l="1"/>
  <c r="AI55" i="6"/>
  <c r="M54" i="6"/>
  <c r="C55" i="6"/>
  <c r="D55" i="6" s="1"/>
  <c r="E55" i="6"/>
  <c r="Z55" i="6"/>
  <c r="V55" i="6"/>
  <c r="AB55" i="6"/>
  <c r="AA55" i="6"/>
  <c r="L55" i="6"/>
  <c r="Y55" i="6"/>
  <c r="T56" i="6"/>
  <c r="H54" i="6"/>
  <c r="K55" i="6"/>
  <c r="J55" i="6"/>
  <c r="P55" i="6"/>
  <c r="R55" i="6" s="1"/>
  <c r="U55" i="6"/>
  <c r="X55" i="6"/>
  <c r="N53" i="6"/>
  <c r="AC53" i="6"/>
  <c r="A57" i="6"/>
  <c r="S56" i="6"/>
  <c r="AE55" i="6"/>
  <c r="AF55" i="6"/>
  <c r="B56" i="6"/>
  <c r="W55" i="6"/>
  <c r="AI56" i="6" l="1"/>
  <c r="AH56" i="6"/>
  <c r="U56" i="6" s="1"/>
  <c r="M55" i="6"/>
  <c r="C56" i="6"/>
  <c r="D56" i="6" s="1"/>
  <c r="E56" i="6"/>
  <c r="AB56" i="6"/>
  <c r="AA56" i="6"/>
  <c r="Z56" i="6"/>
  <c r="V56" i="6"/>
  <c r="L56" i="6"/>
  <c r="Y56" i="6"/>
  <c r="T57" i="6"/>
  <c r="H55" i="6"/>
  <c r="J56" i="6"/>
  <c r="K56" i="6"/>
  <c r="P56" i="6"/>
  <c r="R56" i="6" s="1"/>
  <c r="X56" i="6"/>
  <c r="N54" i="6"/>
  <c r="AC54" i="6"/>
  <c r="A58" i="6"/>
  <c r="S57" i="6"/>
  <c r="AE56" i="6"/>
  <c r="AF56" i="6"/>
  <c r="B57" i="6"/>
  <c r="W56" i="6"/>
  <c r="AH57" i="6" l="1"/>
  <c r="AI57" i="6"/>
  <c r="M56" i="6"/>
  <c r="C57" i="6"/>
  <c r="D57" i="6" s="1"/>
  <c r="E57" i="6"/>
  <c r="AB57" i="6"/>
  <c r="AA57" i="6"/>
  <c r="Z57" i="6"/>
  <c r="V57" i="6"/>
  <c r="L57" i="6"/>
  <c r="Y57" i="6"/>
  <c r="H56" i="6"/>
  <c r="T58" i="6"/>
  <c r="J57" i="6"/>
  <c r="K57" i="6"/>
  <c r="P57" i="6"/>
  <c r="R57" i="6" s="1"/>
  <c r="U57" i="6"/>
  <c r="X57" i="6"/>
  <c r="N55" i="6"/>
  <c r="AC55" i="6"/>
  <c r="A59" i="6"/>
  <c r="S58" i="6"/>
  <c r="AE57" i="6"/>
  <c r="AF57" i="6"/>
  <c r="B58" i="6"/>
  <c r="W57" i="6"/>
  <c r="AI58" i="6" l="1"/>
  <c r="AH58" i="6"/>
  <c r="M57" i="6"/>
  <c r="C58" i="6"/>
  <c r="D58" i="6" s="1"/>
  <c r="E58" i="6"/>
  <c r="Z58" i="6"/>
  <c r="V58" i="6"/>
  <c r="AB58" i="6"/>
  <c r="AA58" i="6"/>
  <c r="L58" i="6"/>
  <c r="L64" i="6" s="1"/>
  <c r="Y58" i="6"/>
  <c r="H57" i="6"/>
  <c r="J58" i="6"/>
  <c r="K58" i="6"/>
  <c r="P58" i="6"/>
  <c r="R58" i="6" s="1"/>
  <c r="U58" i="6"/>
  <c r="X58" i="6"/>
  <c r="N56" i="6"/>
  <c r="AC56" i="6"/>
  <c r="A60" i="6"/>
  <c r="AE58" i="6"/>
  <c r="AF58" i="6"/>
  <c r="B59" i="6"/>
  <c r="W58" i="6"/>
  <c r="M58" i="6" l="1"/>
  <c r="M64" i="6" s="1"/>
  <c r="C59" i="6"/>
  <c r="D59" i="6" s="1"/>
  <c r="E59" i="6"/>
  <c r="K64" i="6"/>
  <c r="H58" i="6"/>
  <c r="H64" i="6" s="1"/>
  <c r="N57" i="6"/>
  <c r="AC57" i="6"/>
  <c r="A61" i="6"/>
  <c r="AC58" i="6"/>
  <c r="J64" i="6"/>
  <c r="B60" i="6"/>
  <c r="E60" i="6" l="1"/>
  <c r="C60" i="6"/>
  <c r="D60" i="6" s="1"/>
  <c r="A62" i="6"/>
  <c r="E14" i="7"/>
  <c r="N58" i="6"/>
  <c r="N64" i="6" s="1"/>
  <c r="D8" i="7" s="1"/>
  <c r="B61" i="6"/>
  <c r="E61" i="6" l="1"/>
  <c r="C61" i="6"/>
  <c r="D61" i="6" s="1"/>
  <c r="AB64" i="6"/>
  <c r="B62" i="6"/>
  <c r="E62" i="6" l="1"/>
  <c r="E12" i="7" s="1"/>
  <c r="D36" i="7" s="1"/>
  <c r="E36" i="7" s="1"/>
  <c r="E37" i="7" s="1"/>
  <c r="C62" i="6"/>
  <c r="D62" i="6" s="1"/>
  <c r="D37" i="7" l="1"/>
  <c r="AC20" i="6" l="1"/>
  <c r="F37" i="7"/>
  <c r="AC28" i="6" l="1"/>
  <c r="T64" i="6"/>
  <c r="F40" i="7"/>
  <c r="V64" i="6" l="1"/>
  <c r="U64" i="6"/>
  <c r="Z64" i="6"/>
  <c r="AC30" i="6"/>
  <c r="AC21" i="6"/>
  <c r="AC18" i="6"/>
  <c r="D31" i="7" s="1"/>
  <c r="AA64" i="6"/>
  <c r="E39" i="7" l="1"/>
  <c r="E41" i="7" s="1"/>
  <c r="D39" i="7"/>
  <c r="AC64" i="6"/>
  <c r="D29" i="7" s="1"/>
  <c r="D32" i="7" l="1"/>
  <c r="D41" i="7"/>
  <c r="F39" i="7"/>
  <c r="F4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tc={F6A9524C-52AE-4BBF-88E8-22F53F7AEE5D}</author>
    <author>tc={A0052535-CD58-4D3E-BC9B-469B4B0941FD}</author>
  </authors>
  <commentList>
    <comment ref="R2" authorId="0" shapeId="0" xr:uid="{F6A9524C-52AE-4BBF-88E8-22F53F7AEE5D}">
      <text>
        <t>[Threaded comment]
Your version of Excel allows you to read this threaded comment; however, any edits to it will get removed if the file is opened in a newer version of Excel. Learn more: https://go.microsoft.com/fwlink/?linkid=870924
Comment:
    for calculation</t>
      </text>
    </comment>
    <comment ref="AA2" authorId="1" shapeId="0" xr:uid="{A0052535-CD58-4D3E-BC9B-469B4B0941FD}">
      <text>
        <t>[Threaded comment]
Your version of Excel allows you to read this threaded comment; however, any edits to it will get removed if the file is opened in a newer version of Excel. Learn more: https://go.microsoft.com/fwlink/?linkid=870924
Comment:
    based on notional pay</t>
      </text>
    </comment>
  </commentList>
</comments>
</file>

<file path=xl/sharedStrings.xml><?xml version="1.0" encoding="utf-8"?>
<sst xmlns="http://schemas.openxmlformats.org/spreadsheetml/2006/main" count="236" uniqueCount="190">
  <si>
    <t xml:space="preserve">Pro rata if part-time </t>
  </si>
  <si>
    <t>Pension</t>
  </si>
  <si>
    <t>On-costs</t>
  </si>
  <si>
    <t>USS Rate</t>
  </si>
  <si>
    <t>LGPS Rate</t>
  </si>
  <si>
    <t>rate</t>
  </si>
  <si>
    <t>from</t>
  </si>
  <si>
    <t>to</t>
  </si>
  <si>
    <t>Apprenticeship levy</t>
  </si>
  <si>
    <t>LGPS - no salary sacrifice</t>
  </si>
  <si>
    <t>USS - salary sacrifice is not taken into account in NI calculation</t>
  </si>
  <si>
    <t>continuously employed by the University for 26 weeks by the end of the 15th week before her expected week of childbirth (EWC)</t>
  </si>
  <si>
    <t>i.e. start date before EWC</t>
  </si>
  <si>
    <t>weeks</t>
  </si>
  <si>
    <t>days</t>
  </si>
  <si>
    <t>Occupational Maternity Pay (OMP)</t>
  </si>
  <si>
    <t>continuously employed at the University for at least 52 weeks at the EWC and return to work for a minimum of three months following their chosen leave period</t>
  </si>
  <si>
    <t>policy:</t>
  </si>
  <si>
    <t>lower SMP rate</t>
  </si>
  <si>
    <t>unpaid</t>
  </si>
  <si>
    <t>90% average weekly earnings</t>
  </si>
  <si>
    <t>Department to complete</t>
  </si>
  <si>
    <t>Employee details</t>
  </si>
  <si>
    <t>Expected week of childbirth</t>
  </si>
  <si>
    <t>Penion scheme</t>
  </si>
  <si>
    <t>full pay</t>
  </si>
  <si>
    <t>weeks available</t>
  </si>
  <si>
    <t>weeks taken</t>
  </si>
  <si>
    <t>rate per week</t>
  </si>
  <si>
    <t>proportion of SMP payments University can recover from HMRC</t>
  </si>
  <si>
    <t>week</t>
  </si>
  <si>
    <t>date</t>
  </si>
  <si>
    <t>rate per week to employee</t>
  </si>
  <si>
    <t>from week</t>
  </si>
  <si>
    <t>On costs - NI</t>
  </si>
  <si>
    <t>On costs - pension</t>
  </si>
  <si>
    <t>pension rate LGPS</t>
  </si>
  <si>
    <t>pension rate USS</t>
  </si>
  <si>
    <t>Input cell</t>
  </si>
  <si>
    <t>Calculated cell</t>
  </si>
  <si>
    <t>KEY:</t>
  </si>
  <si>
    <t>Note: increases in scale points not taken into account</t>
  </si>
  <si>
    <t>On costs - appr. Levy</t>
  </si>
  <si>
    <t>Start date (i.e. at Uni of Bath)</t>
  </si>
  <si>
    <t>Annual salary (current)</t>
  </si>
  <si>
    <t>financial year</t>
  </si>
  <si>
    <t>y/e</t>
  </si>
  <si>
    <t>Cost including on costs</t>
  </si>
  <si>
    <t>existing cost</t>
  </si>
  <si>
    <t>salary</t>
  </si>
  <si>
    <t>Total</t>
  </si>
  <si>
    <t>Summary costing</t>
  </si>
  <si>
    <t>For period :</t>
  </si>
  <si>
    <t>£ total</t>
  </si>
  <si>
    <t>Year</t>
  </si>
  <si>
    <t>L= leave period</t>
  </si>
  <si>
    <t>note : costing does not take account of salary rises or holiday pay during the period being costed</t>
  </si>
  <si>
    <r>
      <t>in addition - the University pays to top up employ</t>
    </r>
    <r>
      <rPr>
        <u/>
        <sz val="11"/>
        <color theme="1"/>
        <rFont val="Calibri"/>
        <family val="2"/>
        <scheme val="minor"/>
      </rPr>
      <t>ee</t>
    </r>
    <r>
      <rPr>
        <sz val="11"/>
        <color theme="1"/>
        <rFont val="Calibri"/>
        <family val="2"/>
        <scheme val="minor"/>
      </rPr>
      <t xml:space="preserve"> contributions based on the notional pay</t>
    </r>
  </si>
  <si>
    <t>Employee pension contribution</t>
  </si>
  <si>
    <t>Employee LGPS</t>
  </si>
  <si>
    <t>Employee USS</t>
  </si>
  <si>
    <t>Pension top up</t>
  </si>
  <si>
    <t>updates</t>
  </si>
  <si>
    <t>NI rate (employer)</t>
  </si>
  <si>
    <t>NI threshold (secondary threshold)</t>
  </si>
  <si>
    <t>USS</t>
  </si>
  <si>
    <t>Net cost to Uni</t>
  </si>
  <si>
    <t>Include 2 week handover period?</t>
  </si>
  <si>
    <t>Y</t>
  </si>
  <si>
    <t>N</t>
  </si>
  <si>
    <t>2 week handover cost at same grade/ FTE</t>
  </si>
  <si>
    <t>Total funding to be provided</t>
  </si>
  <si>
    <t>Handover period</t>
  </si>
  <si>
    <t>Not funded</t>
  </si>
  <si>
    <t>Total cost</t>
  </si>
  <si>
    <t>Costs by financial year:</t>
  </si>
  <si>
    <t>Important changes to parental leave</t>
  </si>
  <si>
    <t>We have decided to make significant changes from 1 August 2021 which we hope will be welcome in improving our approach to equality and inclusion.</t>
  </si>
  <si>
    <t>We have agreed to establish a process where Departments can receive funding for parental/adoption leave cover for the same grade/FTE as the person taking leave, for a maximum of the period of leave plus two weeks, to allow for handover.</t>
  </si>
  <si>
    <t>Departments will still be expected to see how they can manage their workload in the most effective way possible. However, we will be amending budgets to ensure centrally-funded provision for the additional cost of parental-leave cover so individuals taking this leave feel well supported and Heads of Departments, particularly in smaller departments with less budget flexibility, can manage workloads in a better way.</t>
  </si>
  <si>
    <t>In addition, to encourage adoption of Shared Parental Leave, we will be bringing the rate of pay for shared parental leave in line with that for Occupational Maternity Pay. This is designed to motivate a greater sharing of parental leave between partners, which in turn may support these carers to achieve a better life-work balance, fulfil their current roles and gain further development and progression.</t>
  </si>
  <si>
    <t>VC weekly update 1 April:</t>
  </si>
  <si>
    <t>Please contact your Faculty/ Prof Services Accountant for help with the costing of any maternity cover.</t>
  </si>
  <si>
    <t>Check leave policy on HR webpages or with HR.</t>
  </si>
  <si>
    <t>Abbreviations</t>
  </si>
  <si>
    <t>ML</t>
  </si>
  <si>
    <t>SPL</t>
  </si>
  <si>
    <t>Maternity Leave</t>
  </si>
  <si>
    <t>Shared Parental Leave</t>
  </si>
  <si>
    <t>this is to determine the scheme below</t>
  </si>
  <si>
    <t>SMP</t>
  </si>
  <si>
    <t>ShPP</t>
  </si>
  <si>
    <t>OMP</t>
  </si>
  <si>
    <t>Statutory Maternity Pay</t>
  </si>
  <si>
    <t>Statutory Shared Parental Pay</t>
  </si>
  <si>
    <t>Occupational Maternity Pay</t>
  </si>
  <si>
    <t>OShPP</t>
  </si>
  <si>
    <t>OR</t>
  </si>
  <si>
    <t>Date matched with a child (adoption)</t>
  </si>
  <si>
    <t>SAL</t>
  </si>
  <si>
    <t>OAP</t>
  </si>
  <si>
    <t>Statutory Adoption Pay</t>
  </si>
  <si>
    <t>Occupational Adoption Pay</t>
  </si>
  <si>
    <t>Occupational Shared Parental Pay</t>
  </si>
  <si>
    <t>AL</t>
  </si>
  <si>
    <t>Adoption Leave</t>
  </si>
  <si>
    <t>Maternity pay eligibility (applies to Shared Parental Leave from 1 August 2021)</t>
  </si>
  <si>
    <t>Adoption pay eligibility</t>
  </si>
  <si>
    <t>Maternity/ Parental/ Adoption pay amount</t>
  </si>
  <si>
    <t>higher rate</t>
  </si>
  <si>
    <t>lower rate</t>
  </si>
  <si>
    <t>OMP/OShPP/OAL</t>
  </si>
  <si>
    <t>half pay + statutory rate</t>
  </si>
  <si>
    <t>Statutory Adoption Pay (SAP)</t>
  </si>
  <si>
    <t xml:space="preserve">Statutory Maternity/Parental Pay </t>
  </si>
  <si>
    <t xml:space="preserve">Occupational Maternity/Parental Pay </t>
  </si>
  <si>
    <t>continuously employed by the University for 26 weeks by the week they were matched with a child</t>
  </si>
  <si>
    <t>continuously employed at the University for at least 52 weeks at the date that they are matched with a child and return to work for a minimum of three months following their chosen leave period</t>
  </si>
  <si>
    <t>Continuous service (adoption)</t>
  </si>
  <si>
    <t>Continuous service (ML/SPL)</t>
  </si>
  <si>
    <t>ML/SPL/AL scheme</t>
  </si>
  <si>
    <t>Recoverable SMP/ShPP/SAP</t>
  </si>
  <si>
    <t>This is the same as Statutory Maternity Pay (SMP) except that during the first 6 weeks SMP is paid at 90% of whatever you earn (with no maximum).</t>
  </si>
  <si>
    <t xml:space="preserve">NOTE: </t>
  </si>
  <si>
    <t>Type of leave</t>
  </si>
  <si>
    <t>Maternity</t>
  </si>
  <si>
    <t>Shared Parental</t>
  </si>
  <si>
    <t>Adoption</t>
  </si>
  <si>
    <t>SMP/SAP</t>
  </si>
  <si>
    <t xml:space="preserve">For members of USS and LGPS your contributions will be maintained in full for any period you are in receipt of pay, whether contractual or SMP. </t>
  </si>
  <si>
    <t>Any unpaid maternity leave is treated as suspended membership and will not count as pensionable service.</t>
  </si>
  <si>
    <t>ML/ SPL/AL Start date</t>
  </si>
  <si>
    <t>ML/SPL/AL period (weeks)</t>
  </si>
  <si>
    <t>ML/SPL/AL end date</t>
  </si>
  <si>
    <t>LGPS</t>
  </si>
  <si>
    <t>Maternity/Adoption/Parental leave - net cost to Uni</t>
  </si>
  <si>
    <t>includes pension top up, less recovery of 92% statutory pay</t>
  </si>
  <si>
    <t>Maternity/adoption/ parental leave weeks</t>
  </si>
  <si>
    <t>Net cost of leave</t>
  </si>
  <si>
    <t>maternity/ paternity/ parental pay</t>
  </si>
  <si>
    <t>Note:  pension contributions continue to be paid by the University based on the notional pay (i.e. full pay) whilst employee receives any pay/ SMP</t>
  </si>
  <si>
    <t>Secondary threshold</t>
  </si>
  <si>
    <t>ER NI rate</t>
  </si>
  <si>
    <t>employee rates:</t>
  </si>
  <si>
    <t>UOBGPP</t>
  </si>
  <si>
    <t>pension rate UOBGPP</t>
  </si>
  <si>
    <t>USS/LGPS/UOBGPP</t>
  </si>
  <si>
    <t>Employee UOBGPP</t>
  </si>
  <si>
    <t>UOBGPP pension included</t>
  </si>
  <si>
    <t>LGPS and USS rates amended</t>
  </si>
  <si>
    <t>NB:</t>
  </si>
  <si>
    <t>Gross pay incl on costs checked for accuracy against salary forecasting spreadsheet 22/23</t>
  </si>
  <si>
    <t>2023/24</t>
  </si>
  <si>
    <t>Lookup - financial year</t>
  </si>
  <si>
    <t>note: the mother must take min 2 weeks maternity (4 if she works in a factory) therefore 50 weeks max shared parental leave</t>
  </si>
  <si>
    <t>SMP/SAL/SHPP recoverable</t>
  </si>
  <si>
    <t>Use drop down</t>
  </si>
  <si>
    <t>University pay scale</t>
  </si>
  <si>
    <t>From 1 Aug 2021 University policy to fund leave.</t>
  </si>
  <si>
    <t>Pensions</t>
  </si>
  <si>
    <t>How much do I pay? | Avon Pension Fund</t>
  </si>
  <si>
    <t>Rates and thresholds for employers 2023 to 2024 - GOV.UK (www.gov.uk)</t>
  </si>
  <si>
    <t>National Insurance</t>
  </si>
  <si>
    <t>Maternity Pay</t>
  </si>
  <si>
    <t>Maternity pay and leave: Pay - GOV.UK (www.gov.uk)</t>
  </si>
  <si>
    <t>Category</t>
  </si>
  <si>
    <t>Link</t>
  </si>
  <si>
    <t>Get financial help with statutory pay: What you can reclaim - GOV.UK (www.gov.uk)</t>
  </si>
  <si>
    <t>Maternity Pay - Recoverable</t>
  </si>
  <si>
    <t>Maternity policy (bath.ac.uk)</t>
  </si>
  <si>
    <t>UoB Maternity policy</t>
  </si>
  <si>
    <t xml:space="preserve">ER's NI rate 13.8% (2023/24) </t>
  </si>
  <si>
    <t>updated lower SMP rate from £156.66 per week to £172.48 per week from 01/04/2023</t>
  </si>
  <si>
    <t>NI threshold for ER's contributions remains £9,100 (2023/24)</t>
  </si>
  <si>
    <t>LGPS Up to £16,500</t>
  </si>
  <si>
    <t>LGPS £16,501 to £25,900</t>
  </si>
  <si>
    <t>LGPS £25,901 to £42,100</t>
  </si>
  <si>
    <t>2024/25</t>
  </si>
  <si>
    <t>2025/26</t>
  </si>
  <si>
    <t>update</t>
  </si>
  <si>
    <t>updated lower SMP rate from £172.48 per week to £184.03 per week from 05/04/2024</t>
  </si>
  <si>
    <t>NI threshold for ER's contributions changed from £9,100 a year to £5,000 a year (2025/26)</t>
  </si>
  <si>
    <t xml:space="preserve">ER's NI rate 15.0% (2025/26) </t>
  </si>
  <si>
    <t>ShPP is paid at the rate of £187.18 (2025/26) per week or 90% of your average weekly earnings, whichever is lower.</t>
  </si>
  <si>
    <t>ShPP is paid at the rate of  £187.18 (2025/26) per week or 90% of an employee’s average weekly earnings, whichever is lower.</t>
  </si>
  <si>
    <t>ShPP is paid at the rate of  £187.18 (2024/25) per week or 90% of your average weekly earnings, whichever is lower - no 6 week period at higher rate</t>
  </si>
  <si>
    <t xml:space="preserve">update </t>
  </si>
  <si>
    <t>updated lower SMP rate from £184.03 per week to £187.18 per week from 05/04/2025</t>
  </si>
  <si>
    <t>2026/27</t>
  </si>
  <si>
    <t>** Use this calculator to cost maternity, adoption &amp; shared parental leave from 6 April 2025 and the university financial years 2025/26 and 2026/27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</si>
</sst>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0.0%"/>
    <numFmt numFmtId="166" formatCode="_-* #,##0_-;\-* #,##0_-;_-* &quot;-&quot;??_-;_-@_-"/>
    <numFmt numFmtId="167" formatCode="#,##0.00_ ;[Red]\-#,##0.00\ "/>
    <numFmt numFmtId="168" formatCode="#,##0_ ;[Red]\-#,##0\ "/>
  </numFmts>
  <fonts count="34" x14ac:knownFonts="1">
    <font>
      <sz val="11"/>
      <color theme="1"/>
      <name val="Calibri"/>
      <family val="2"/>
      <scheme val="minor"/>
    </font>
    <font>
      <b/>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i/>
      <sz val="11"/>
      <color theme="1"/>
      <name val="Calibri"/>
      <family val="2"/>
      <scheme val="minor"/>
    </font>
    <font>
      <b/>
      <i/>
      <sz val="12"/>
      <color theme="1"/>
      <name val="Calibri"/>
      <family val="2"/>
      <scheme val="minor"/>
    </font>
    <font>
      <b/>
      <sz val="11"/>
      <color rgb="FF3F3F3F"/>
      <name val="Calibri"/>
      <family val="2"/>
      <scheme val="minor"/>
    </font>
    <font>
      <b/>
      <sz val="12"/>
      <color theme="1"/>
      <name val="Calibri"/>
      <family val="2"/>
      <scheme val="minor"/>
    </font>
    <font>
      <sz val="12"/>
      <color theme="1"/>
      <name val="Calibri"/>
      <family val="2"/>
      <scheme val="minor"/>
    </font>
    <font>
      <i/>
      <sz val="12"/>
      <color rgb="FFFF0000"/>
      <name val="Calibri"/>
      <family val="2"/>
      <scheme val="minor"/>
    </font>
    <font>
      <u/>
      <sz val="11"/>
      <color theme="1"/>
      <name val="Calibri"/>
      <family val="2"/>
      <scheme val="minor"/>
    </font>
    <font>
      <b/>
      <i/>
      <sz val="12"/>
      <color rgb="FF0070C0"/>
      <name val="Calibri"/>
      <family val="2"/>
      <scheme val="minor"/>
    </font>
    <font>
      <sz val="11"/>
      <color rgb="FF0070C0"/>
      <name val="Calibri"/>
      <family val="2"/>
      <scheme val="minor"/>
    </font>
    <font>
      <b/>
      <sz val="11"/>
      <color rgb="FF0070C0"/>
      <name val="Calibri"/>
      <family val="2"/>
      <scheme val="minor"/>
    </font>
    <font>
      <sz val="11"/>
      <color theme="0" tint="-0.14999847407452621"/>
      <name val="Calibri"/>
      <family val="2"/>
      <scheme val="minor"/>
    </font>
    <font>
      <sz val="11"/>
      <color theme="0"/>
      <name val="Calibri"/>
      <family val="2"/>
      <scheme val="minor"/>
    </font>
    <font>
      <i/>
      <sz val="11"/>
      <color rgb="FFFF0000"/>
      <name val="Calibri"/>
      <family val="2"/>
      <scheme val="minor"/>
    </font>
    <font>
      <b/>
      <sz val="12"/>
      <color theme="0"/>
      <name val="Calibri"/>
      <family val="2"/>
      <scheme val="minor"/>
    </font>
    <font>
      <sz val="11"/>
      <color rgb="FFFF0000"/>
      <name val="Calibri"/>
      <family val="2"/>
      <scheme val="minor"/>
    </font>
    <font>
      <b/>
      <sz val="11"/>
      <color theme="1"/>
      <name val="Arial"/>
      <family val="2"/>
    </font>
    <font>
      <sz val="11"/>
      <color theme="1"/>
      <name val="Arial"/>
      <family val="2"/>
    </font>
    <font>
      <b/>
      <u/>
      <sz val="11"/>
      <color theme="1"/>
      <name val="Calibri"/>
      <family val="2"/>
      <scheme val="minor"/>
    </font>
    <font>
      <sz val="12"/>
      <color rgb="FFFF0000"/>
      <name val="Calibri"/>
      <family val="2"/>
      <scheme val="minor"/>
    </font>
    <font>
      <b/>
      <sz val="14"/>
      <color rgb="FFFF0000"/>
      <name val="Calibri"/>
      <family val="2"/>
      <scheme val="minor"/>
    </font>
    <font>
      <b/>
      <i/>
      <sz val="11"/>
      <color rgb="FFFF0000"/>
      <name val="Calibri"/>
      <family val="2"/>
      <scheme val="minor"/>
    </font>
    <font>
      <sz val="14"/>
      <color rgb="FF0B0C0C"/>
      <name val="Arial"/>
      <family val="2"/>
    </font>
    <font>
      <u/>
      <sz val="11"/>
      <color theme="10"/>
      <name val="Calibri"/>
      <family val="2"/>
      <scheme val="minor"/>
    </font>
    <font>
      <sz val="12"/>
      <color theme="0" tint="-0.14999847407452621"/>
      <name val="Calibri"/>
      <family val="2"/>
      <scheme val="minor"/>
    </font>
    <font>
      <b/>
      <sz val="11"/>
      <color rgb="FF3F3F76"/>
      <name val="Calibri"/>
      <family val="2"/>
      <scheme val="minor"/>
    </font>
    <font>
      <b/>
      <u/>
      <sz val="11"/>
      <color rgb="FF0070C0"/>
      <name val="Calibri"/>
      <family val="2"/>
      <scheme val="minor"/>
    </font>
    <font>
      <b/>
      <sz val="11"/>
      <color theme="4" tint="-0.249977111117893"/>
      <name val="Calibri"/>
      <family val="2"/>
      <scheme val="minor"/>
    </font>
    <font>
      <u/>
      <sz val="11"/>
      <color theme="4" tint="-0.249977111117893"/>
      <name val="Calibri"/>
      <family val="2"/>
      <scheme val="minor"/>
    </font>
    <font>
      <sz val="11"/>
      <color theme="4" tint="-0.249977111117893"/>
      <name val="Calibri"/>
      <family val="2"/>
      <scheme val="minor"/>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theme="7" tint="0.59999389629810485"/>
        <bgColor indexed="64"/>
      </patternFill>
    </fill>
    <fill>
      <patternFill patternType="solid">
        <fgColor theme="0"/>
        <bgColor indexed="64"/>
      </patternFill>
    </fill>
    <fill>
      <patternFill patternType="solid">
        <fgColor theme="9"/>
      </patternFill>
    </fill>
    <fill>
      <patternFill patternType="solid">
        <fgColor theme="8" tint="0.59999389629810485"/>
        <bgColor indexed="64"/>
      </patternFill>
    </fill>
    <fill>
      <patternFill patternType="solid">
        <fgColor rgb="FFFFFF00"/>
        <bgColor indexed="64"/>
      </patternFill>
    </fill>
  </fills>
  <borders count="1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2" borderId="3" applyNumberFormat="0" applyAlignment="0" applyProtection="0"/>
    <xf numFmtId="0" fontId="4" fillId="3" borderId="3" applyNumberFormat="0" applyAlignment="0" applyProtection="0"/>
    <xf numFmtId="0" fontId="7" fillId="3" borderId="13" applyNumberFormat="0" applyAlignment="0" applyProtection="0"/>
    <xf numFmtId="0" fontId="16" fillId="6" borderId="0" applyNumberFormat="0" applyBorder="0" applyAlignment="0" applyProtection="0"/>
    <xf numFmtId="0" fontId="27" fillId="0" borderId="0" applyNumberFormat="0" applyFill="0" applyBorder="0" applyAlignment="0" applyProtection="0"/>
  </cellStyleXfs>
  <cellXfs count="124">
    <xf numFmtId="0" fontId="0" fillId="0" borderId="0" xfId="0"/>
    <xf numFmtId="0" fontId="0" fillId="0" borderId="0" xfId="0" applyAlignment="1">
      <alignment horizontal="center"/>
    </xf>
    <xf numFmtId="9" fontId="0" fillId="0" borderId="0" xfId="2" applyFont="1"/>
    <xf numFmtId="165" fontId="0" fillId="0" borderId="0" xfId="2" applyNumberFormat="1" applyFont="1"/>
    <xf numFmtId="14" fontId="0" fillId="0" borderId="0" xfId="0" applyNumberFormat="1"/>
    <xf numFmtId="43" fontId="0" fillId="0" borderId="0" xfId="1" applyFont="1"/>
    <xf numFmtId="166" fontId="0" fillId="0" borderId="0" xfId="1" applyNumberFormat="1" applyFont="1"/>
    <xf numFmtId="0" fontId="1" fillId="0" borderId="0" xfId="0" applyFont="1"/>
    <xf numFmtId="0" fontId="0" fillId="0" borderId="0" xfId="0" applyFont="1" applyAlignment="1">
      <alignment horizontal="right"/>
    </xf>
    <xf numFmtId="0" fontId="0" fillId="0" borderId="0" xfId="0" applyAlignment="1">
      <alignment horizontal="right"/>
    </xf>
    <xf numFmtId="166" fontId="4" fillId="3" borderId="3" xfId="1" applyNumberFormat="1" applyFont="1" applyFill="1" applyBorder="1"/>
    <xf numFmtId="166" fontId="4" fillId="3" borderId="4" xfId="1" applyNumberFormat="1" applyFont="1" applyFill="1" applyBorder="1"/>
    <xf numFmtId="166" fontId="0" fillId="0" borderId="2" xfId="0" applyNumberFormat="1" applyBorder="1"/>
    <xf numFmtId="0" fontId="5" fillId="0" borderId="0" xfId="0" applyFont="1" applyAlignment="1">
      <alignment horizontal="center" wrapText="1"/>
    </xf>
    <xf numFmtId="164" fontId="4" fillId="3" borderId="3" xfId="1" applyNumberFormat="1" applyFont="1" applyFill="1" applyBorder="1"/>
    <xf numFmtId="166" fontId="0" fillId="0" borderId="0" xfId="0" applyNumberFormat="1" applyBorder="1"/>
    <xf numFmtId="43" fontId="3" fillId="4" borderId="3" xfId="1" applyFont="1" applyFill="1" applyBorder="1" applyAlignment="1">
      <alignment horizontal="right"/>
    </xf>
    <xf numFmtId="14" fontId="0" fillId="0" borderId="0" xfId="0" applyNumberFormat="1" applyAlignment="1">
      <alignment horizontal="center"/>
    </xf>
    <xf numFmtId="0" fontId="6" fillId="0" borderId="0" xfId="0" applyFont="1" applyAlignment="1">
      <alignment horizontal="center" vertical="top"/>
    </xf>
    <xf numFmtId="0" fontId="6" fillId="0" borderId="0" xfId="0" applyFont="1" applyAlignment="1">
      <alignment horizontal="center" vertical="top" wrapText="1"/>
    </xf>
    <xf numFmtId="167" fontId="0" fillId="0" borderId="0" xfId="1" applyNumberFormat="1" applyFont="1"/>
    <xf numFmtId="43" fontId="0" fillId="0" borderId="0" xfId="0" applyNumberFormat="1"/>
    <xf numFmtId="0" fontId="0" fillId="0" borderId="0" xfId="0" applyBorder="1"/>
    <xf numFmtId="167" fontId="1" fillId="0" borderId="2" xfId="0" applyNumberFormat="1" applyFont="1" applyBorder="1"/>
    <xf numFmtId="0" fontId="1" fillId="0" borderId="0" xfId="0" applyFont="1" applyAlignment="1">
      <alignment horizontal="left"/>
    </xf>
    <xf numFmtId="0" fontId="1" fillId="0" borderId="0" xfId="0" applyFont="1" applyAlignment="1">
      <alignment horizontal="center"/>
    </xf>
    <xf numFmtId="0" fontId="0" fillId="5" borderId="0" xfId="0" applyFill="1"/>
    <xf numFmtId="0" fontId="8" fillId="5" borderId="0" xfId="0" applyFont="1" applyFill="1"/>
    <xf numFmtId="0" fontId="9" fillId="5" borderId="0" xfId="0" applyFont="1" applyFill="1"/>
    <xf numFmtId="0" fontId="1" fillId="5" borderId="5" xfId="0" applyFont="1" applyFill="1" applyBorder="1"/>
    <xf numFmtId="0" fontId="0" fillId="5" borderId="6" xfId="0" applyFill="1" applyBorder="1"/>
    <xf numFmtId="0" fontId="0" fillId="5" borderId="7" xfId="0" applyFill="1" applyBorder="1"/>
    <xf numFmtId="0" fontId="0" fillId="5" borderId="8" xfId="0" applyFill="1" applyBorder="1"/>
    <xf numFmtId="0" fontId="0" fillId="5" borderId="0" xfId="0" applyFill="1" applyBorder="1"/>
    <xf numFmtId="0" fontId="0" fillId="5" borderId="9" xfId="0" applyFill="1" applyBorder="1"/>
    <xf numFmtId="0" fontId="5" fillId="5" borderId="0" xfId="0" applyFont="1" applyFill="1" applyBorder="1"/>
    <xf numFmtId="0" fontId="0" fillId="5" borderId="10" xfId="0" applyFill="1" applyBorder="1"/>
    <xf numFmtId="0" fontId="0" fillId="5" borderId="11" xfId="0" applyFill="1" applyBorder="1"/>
    <xf numFmtId="0" fontId="0" fillId="5" borderId="12" xfId="0" applyFill="1" applyBorder="1"/>
    <xf numFmtId="166" fontId="7" fillId="3" borderId="14" xfId="5" applyNumberFormat="1" applyBorder="1"/>
    <xf numFmtId="0" fontId="0" fillId="5" borderId="15" xfId="0" applyFill="1" applyBorder="1"/>
    <xf numFmtId="0" fontId="0" fillId="5" borderId="1" xfId="0" applyFill="1" applyBorder="1"/>
    <xf numFmtId="0" fontId="8" fillId="5" borderId="5" xfId="0" applyFont="1" applyFill="1" applyBorder="1"/>
    <xf numFmtId="0" fontId="9" fillId="5" borderId="6" xfId="0" applyFont="1" applyFill="1" applyBorder="1"/>
    <xf numFmtId="0" fontId="9" fillId="5" borderId="7" xfId="0" applyFont="1" applyFill="1" applyBorder="1"/>
    <xf numFmtId="0" fontId="8" fillId="5" borderId="8" xfId="0" applyFont="1" applyFill="1" applyBorder="1"/>
    <xf numFmtId="14" fontId="8" fillId="5" borderId="0" xfId="0" applyNumberFormat="1" applyFont="1" applyFill="1" applyBorder="1"/>
    <xf numFmtId="0" fontId="8" fillId="5" borderId="0" xfId="0" applyFont="1" applyFill="1" applyBorder="1" applyAlignment="1">
      <alignment horizontal="center"/>
    </xf>
    <xf numFmtId="0" fontId="8" fillId="5" borderId="0" xfId="0" applyFont="1" applyFill="1" applyBorder="1"/>
    <xf numFmtId="0" fontId="0" fillId="5" borderId="16" xfId="0" applyFont="1" applyFill="1" applyBorder="1"/>
    <xf numFmtId="0" fontId="1" fillId="5" borderId="8" xfId="0" applyFont="1" applyFill="1" applyBorder="1"/>
    <xf numFmtId="166" fontId="1" fillId="5" borderId="0" xfId="0" applyNumberFormat="1" applyFont="1" applyFill="1" applyBorder="1" applyAlignment="1">
      <alignment horizontal="right"/>
    </xf>
    <xf numFmtId="0" fontId="1" fillId="5" borderId="0" xfId="0" applyFont="1" applyFill="1" applyBorder="1" applyAlignment="1">
      <alignment horizontal="right"/>
    </xf>
    <xf numFmtId="166" fontId="7" fillId="3" borderId="13" xfId="5" applyNumberFormat="1" applyBorder="1"/>
    <xf numFmtId="0" fontId="0" fillId="5" borderId="8" xfId="0" applyFont="1" applyFill="1" applyBorder="1"/>
    <xf numFmtId="0" fontId="9" fillId="5" borderId="0" xfId="0" applyFont="1" applyFill="1" applyBorder="1"/>
    <xf numFmtId="0" fontId="9" fillId="5" borderId="9" xfId="0" applyFont="1" applyFill="1" applyBorder="1"/>
    <xf numFmtId="0" fontId="0" fillId="0" borderId="0" xfId="0" applyFill="1" applyAlignment="1">
      <alignment horizontal="center"/>
    </xf>
    <xf numFmtId="14" fontId="0" fillId="0" borderId="0" xfId="0" applyNumberFormat="1" applyFill="1" applyAlignment="1">
      <alignment horizontal="center"/>
    </xf>
    <xf numFmtId="0" fontId="10" fillId="5" borderId="6" xfId="0" applyFont="1" applyFill="1" applyBorder="1"/>
    <xf numFmtId="10" fontId="0" fillId="0" borderId="0" xfId="0" applyNumberFormat="1"/>
    <xf numFmtId="0" fontId="12" fillId="0" borderId="0" xfId="0" applyFont="1" applyAlignment="1">
      <alignment horizontal="center" vertical="top" wrapText="1"/>
    </xf>
    <xf numFmtId="167" fontId="13" fillId="0" borderId="0" xfId="1" applyNumberFormat="1" applyFont="1"/>
    <xf numFmtId="0" fontId="13" fillId="0" borderId="0" xfId="0" applyFont="1" applyAlignment="1">
      <alignment horizontal="center"/>
    </xf>
    <xf numFmtId="167" fontId="14" fillId="0" borderId="0" xfId="0" applyNumberFormat="1" applyFont="1" applyBorder="1"/>
    <xf numFmtId="10" fontId="13" fillId="0" borderId="0" xfId="2" applyNumberFormat="1" applyFont="1"/>
    <xf numFmtId="43" fontId="13" fillId="0" borderId="0" xfId="1" applyFont="1"/>
    <xf numFmtId="0" fontId="15" fillId="0" borderId="0" xfId="0" applyFont="1"/>
    <xf numFmtId="165" fontId="15" fillId="0" borderId="0" xfId="2" applyNumberFormat="1" applyFont="1"/>
    <xf numFmtId="14" fontId="15" fillId="0" borderId="0" xfId="0" applyNumberFormat="1" applyFont="1"/>
    <xf numFmtId="0" fontId="0" fillId="0" borderId="0" xfId="0" applyFill="1"/>
    <xf numFmtId="14" fontId="0" fillId="0" borderId="0" xfId="0" applyNumberFormat="1" applyFill="1"/>
    <xf numFmtId="0" fontId="0" fillId="5" borderId="17" xfId="0" applyFont="1" applyFill="1" applyBorder="1"/>
    <xf numFmtId="0" fontId="17" fillId="5" borderId="0" xfId="0" applyFont="1" applyFill="1" applyBorder="1"/>
    <xf numFmtId="168" fontId="7" fillId="3" borderId="14" xfId="5" applyNumberFormat="1" applyBorder="1"/>
    <xf numFmtId="0" fontId="18" fillId="6" borderId="17" xfId="6" applyFont="1" applyBorder="1"/>
    <xf numFmtId="0" fontId="18" fillId="6" borderId="15" xfId="6" applyFont="1" applyBorder="1"/>
    <xf numFmtId="166" fontId="18" fillId="6" borderId="14" xfId="6" applyNumberFormat="1" applyFont="1" applyBorder="1"/>
    <xf numFmtId="0" fontId="20" fillId="0" borderId="0" xfId="0" applyFont="1" applyAlignment="1">
      <alignment vertical="center" wrapText="1"/>
    </xf>
    <xf numFmtId="0" fontId="0" fillId="0" borderId="0" xfId="0" applyAlignment="1">
      <alignment vertical="center" wrapText="1"/>
    </xf>
    <xf numFmtId="0" fontId="21" fillId="0" borderId="0" xfId="0" applyFont="1" applyAlignment="1">
      <alignment vertical="center" wrapText="1"/>
    </xf>
    <xf numFmtId="0" fontId="22" fillId="0" borderId="0" xfId="0" applyFont="1"/>
    <xf numFmtId="0" fontId="23" fillId="5" borderId="0" xfId="0" applyFont="1" applyFill="1"/>
    <xf numFmtId="0" fontId="19" fillId="5" borderId="0" xfId="0" applyFont="1" applyFill="1"/>
    <xf numFmtId="0" fontId="1" fillId="5" borderId="8" xfId="0" applyFont="1" applyFill="1" applyBorder="1" applyAlignment="1">
      <alignment horizontal="center"/>
    </xf>
    <xf numFmtId="0" fontId="26" fillId="0" borderId="0" xfId="0" applyFont="1"/>
    <xf numFmtId="0" fontId="26" fillId="0" borderId="0" xfId="0" applyFont="1" applyAlignment="1">
      <alignment vertical="center"/>
    </xf>
    <xf numFmtId="0" fontId="27" fillId="0" borderId="0" xfId="7" applyAlignment="1">
      <alignment vertical="center"/>
    </xf>
    <xf numFmtId="0" fontId="24" fillId="5" borderId="0" xfId="0" applyFont="1" applyFill="1" applyAlignment="1">
      <alignment horizontal="center" wrapText="1"/>
    </xf>
    <xf numFmtId="0" fontId="17" fillId="5" borderId="0" xfId="0" applyFont="1" applyFill="1" applyBorder="1" applyAlignment="1">
      <alignment horizontal="left" wrapText="1"/>
    </xf>
    <xf numFmtId="0" fontId="28" fillId="5" borderId="0" xfId="0" applyFont="1" applyFill="1"/>
    <xf numFmtId="0" fontId="15" fillId="5" borderId="0" xfId="0" applyFont="1" applyFill="1" applyBorder="1"/>
    <xf numFmtId="0" fontId="25" fillId="5" borderId="0" xfId="0" applyFont="1" applyFill="1" applyBorder="1"/>
    <xf numFmtId="0" fontId="0" fillId="5" borderId="0" xfId="0" applyFill="1" applyBorder="1" applyAlignment="1">
      <alignment horizontal="right"/>
    </xf>
    <xf numFmtId="0" fontId="3" fillId="2" borderId="3" xfId="3" applyBorder="1"/>
    <xf numFmtId="0" fontId="4" fillId="3" borderId="3" xfId="4" applyBorder="1"/>
    <xf numFmtId="14" fontId="3" fillId="2" borderId="3" xfId="3" applyNumberFormat="1" applyBorder="1" applyAlignment="1">
      <alignment horizontal="right"/>
    </xf>
    <xf numFmtId="166" fontId="3" fillId="2" borderId="3" xfId="3" applyNumberFormat="1" applyBorder="1" applyAlignment="1">
      <alignment horizontal="right"/>
    </xf>
    <xf numFmtId="166" fontId="4" fillId="3" borderId="3" xfId="4" applyNumberFormat="1" applyBorder="1"/>
    <xf numFmtId="0" fontId="9" fillId="5" borderId="8" xfId="0" applyFont="1" applyFill="1" applyBorder="1"/>
    <xf numFmtId="166" fontId="4" fillId="3" borderId="3" xfId="4" applyNumberFormat="1" applyBorder="1" applyAlignment="1">
      <alignment horizontal="right"/>
    </xf>
    <xf numFmtId="14" fontId="4" fillId="3" borderId="3" xfId="4" applyNumberFormat="1" applyBorder="1"/>
    <xf numFmtId="0" fontId="11" fillId="5" borderId="0" xfId="0" applyFont="1" applyFill="1" applyBorder="1"/>
    <xf numFmtId="166" fontId="1" fillId="5" borderId="0" xfId="0" applyNumberFormat="1" applyFont="1" applyFill="1" applyAlignment="1">
      <alignment horizontal="right"/>
    </xf>
    <xf numFmtId="1" fontId="13" fillId="0" borderId="0" xfId="2" applyNumberFormat="1" applyFont="1"/>
    <xf numFmtId="1" fontId="0" fillId="0" borderId="0" xfId="0" applyNumberFormat="1" applyAlignment="1">
      <alignment horizontal="center"/>
    </xf>
    <xf numFmtId="1" fontId="6" fillId="0" borderId="0" xfId="0" applyNumberFormat="1" applyFont="1" applyAlignment="1">
      <alignment horizontal="center" vertical="top"/>
    </xf>
    <xf numFmtId="1" fontId="0" fillId="0" borderId="0" xfId="1" applyNumberFormat="1" applyFont="1" applyAlignment="1">
      <alignment horizontal="center"/>
    </xf>
    <xf numFmtId="0" fontId="29" fillId="7" borderId="3" xfId="3" applyFont="1" applyFill="1" applyBorder="1" applyAlignment="1">
      <alignment horizontal="center" vertical="center"/>
    </xf>
    <xf numFmtId="0" fontId="3" fillId="7" borderId="3" xfId="3" applyFont="1" applyFill="1" applyBorder="1" applyAlignment="1">
      <alignment horizontal="center" vertical="center"/>
    </xf>
    <xf numFmtId="0" fontId="0" fillId="0" borderId="0" xfId="0" applyFont="1"/>
    <xf numFmtId="14" fontId="0" fillId="0" borderId="0" xfId="0" applyNumberFormat="1" applyFont="1"/>
    <xf numFmtId="0" fontId="30" fillId="5" borderId="0" xfId="7" applyFont="1" applyFill="1" applyBorder="1"/>
    <xf numFmtId="0" fontId="31" fillId="0" borderId="0" xfId="0" applyFont="1"/>
    <xf numFmtId="0" fontId="32" fillId="0" borderId="0" xfId="7" applyFont="1"/>
    <xf numFmtId="0" fontId="33" fillId="0" borderId="0" xfId="0" applyFont="1"/>
    <xf numFmtId="0" fontId="27" fillId="0" borderId="0" xfId="7"/>
    <xf numFmtId="165" fontId="2" fillId="8" borderId="0" xfId="2" applyNumberFormat="1" applyFont="1" applyFill="1"/>
    <xf numFmtId="165" fontId="0" fillId="8" borderId="0" xfId="2" applyNumberFormat="1" applyFont="1" applyFill="1"/>
    <xf numFmtId="1" fontId="3" fillId="2" borderId="3" xfId="3" applyNumberFormat="1" applyBorder="1" applyAlignment="1">
      <alignment horizontal="right"/>
    </xf>
    <xf numFmtId="0" fontId="17" fillId="5" borderId="0" xfId="0" applyFont="1" applyFill="1" applyBorder="1" applyAlignment="1">
      <alignment horizontal="left" wrapText="1"/>
    </xf>
    <xf numFmtId="0" fontId="17" fillId="5" borderId="9" xfId="0" applyFont="1" applyFill="1" applyBorder="1" applyAlignment="1">
      <alignment horizontal="left" wrapText="1"/>
    </xf>
    <xf numFmtId="0" fontId="24" fillId="5" borderId="0" xfId="0" applyFont="1" applyFill="1" applyAlignment="1">
      <alignment horizontal="center" wrapText="1"/>
    </xf>
    <xf numFmtId="0" fontId="0" fillId="0" borderId="0" xfId="0" applyAlignment="1">
      <alignment horizontal="left" wrapText="1"/>
    </xf>
  </cellXfs>
  <cellStyles count="8">
    <cellStyle name="Accent6" xfId="6" builtinId="49"/>
    <cellStyle name="Calculation" xfId="4" builtinId="22"/>
    <cellStyle name="Comma" xfId="1" builtinId="3"/>
    <cellStyle name="Hyperlink" xfId="7" builtinId="8"/>
    <cellStyle name="Input" xfId="3" builtinId="20"/>
    <cellStyle name="Normal" xfId="0" builtinId="0"/>
    <cellStyle name="Output" xfId="5" builtinId="21"/>
    <cellStyle name="Percent"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5</xdr:col>
      <xdr:colOff>676275</xdr:colOff>
      <xdr:row>9</xdr:row>
      <xdr:rowOff>123825</xdr:rowOff>
    </xdr:from>
    <xdr:to>
      <xdr:col>5</xdr:col>
      <xdr:colOff>885825</xdr:colOff>
      <xdr:row>10</xdr:row>
      <xdr:rowOff>66675</xdr:rowOff>
    </xdr:to>
    <xdr:sp macro="" textlink="">
      <xdr:nvSpPr>
        <xdr:cNvPr id="2" name="Arrow: Left 1">
          <a:extLst>
            <a:ext uri="{FF2B5EF4-FFF2-40B4-BE49-F238E27FC236}">
              <a16:creationId xmlns:a16="http://schemas.microsoft.com/office/drawing/2014/main" id="{1EB04297-1B54-4B4C-A19D-D061EF851F3A}"/>
            </a:ext>
          </a:extLst>
        </xdr:cNvPr>
        <xdr:cNvSpPr/>
      </xdr:nvSpPr>
      <xdr:spPr>
        <a:xfrm>
          <a:off x="6200775" y="2200275"/>
          <a:ext cx="209550" cy="142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person displayName="Alison Walters" id="{88FE9483-A346-4361-AA72-3ABEB80C99E0}" userId="S::as3245@bath.ac.uk::52d3504a-52be-47ee-9109-7ca1dcffb4f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2" dT="2020-02-13T14:53:22.50" personId="{88FE9483-A346-4361-AA72-3ABEB80C99E0}" id="{F6A9524C-52AE-4BBF-88E8-22F53F7AEE5D}">
    <text>for calculation</text>
  </threadedComment>
  <threadedComment ref="AA2" dT="2020-02-13T15:11:35.53" personId="{88FE9483-A346-4361-AA72-3ABEB80C99E0}" id="{A0052535-CD58-4D3E-BC9B-469B4B0941FD}">
    <text>based on notional pay</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ath.ac.uk/corporate-information/university-of-bath-pay-and-grading-structur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maternity-pay-leave/pa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maternity-pay-leave/pay" TargetMode="External"/><Relationship Id="rId2" Type="http://schemas.openxmlformats.org/officeDocument/2006/relationships/hyperlink" Target="https://www.gov.uk/guidance/rates-and-thresholds-for-employers-2023-to-2024" TargetMode="External"/><Relationship Id="rId1" Type="http://schemas.openxmlformats.org/officeDocument/2006/relationships/hyperlink" Target="https://www.avonpensionfund.org.uk/how-much-do-i-pay" TargetMode="External"/><Relationship Id="rId6" Type="http://schemas.openxmlformats.org/officeDocument/2006/relationships/printerSettings" Target="../printerSettings/printerSettings4.bin"/><Relationship Id="rId5" Type="http://schemas.openxmlformats.org/officeDocument/2006/relationships/hyperlink" Target="https://www.bath.ac.uk/corporate-information/maternity-policy/" TargetMode="External"/><Relationship Id="rId4" Type="http://schemas.openxmlformats.org/officeDocument/2006/relationships/hyperlink" Target="https://www.gov.uk/recover-statutory-payments"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3"/>
  <sheetViews>
    <sheetView tabSelected="1" workbookViewId="0">
      <selection activeCell="B3" sqref="B3"/>
    </sheetView>
  </sheetViews>
  <sheetFormatPr defaultColWidth="9.109375" defaultRowHeight="14.4" x14ac:dyDescent="0.3"/>
  <cols>
    <col min="1" max="1" width="4.44140625" style="26" customWidth="1"/>
    <col min="2" max="2" width="16.33203125" style="26" customWidth="1"/>
    <col min="3" max="3" width="35" style="26" customWidth="1"/>
    <col min="4" max="4" width="17.5546875" style="26" customWidth="1"/>
    <col min="5" max="5" width="12.88671875" style="26" customWidth="1"/>
    <col min="6" max="7" width="13.88671875" style="26" customWidth="1"/>
    <col min="8" max="11" width="9.109375" style="26"/>
    <col min="12" max="12" width="12.6640625" style="26" customWidth="1"/>
    <col min="13" max="20" width="9.109375" style="26"/>
    <col min="21" max="21" width="6.109375" style="26" customWidth="1"/>
    <col min="22" max="16384" width="9.109375" style="26"/>
  </cols>
  <sheetData>
    <row r="1" spans="1:24" x14ac:dyDescent="0.3">
      <c r="U1" s="83"/>
      <c r="V1" s="83"/>
      <c r="W1" s="83"/>
      <c r="X1" s="83"/>
    </row>
    <row r="2" spans="1:24" ht="37.5" customHeight="1" x14ac:dyDescent="0.35">
      <c r="B2" s="122" t="s">
        <v>189</v>
      </c>
      <c r="C2" s="122"/>
      <c r="D2" s="122"/>
      <c r="E2" s="122"/>
      <c r="F2" s="122"/>
      <c r="G2" s="122"/>
      <c r="H2" s="122"/>
      <c r="I2" s="122"/>
      <c r="J2" s="122"/>
      <c r="K2" s="122"/>
      <c r="L2" s="122"/>
      <c r="M2" s="88"/>
      <c r="N2" s="88"/>
      <c r="O2" s="88"/>
      <c r="P2" s="88"/>
      <c r="Q2" s="88"/>
      <c r="R2" s="88"/>
      <c r="S2" s="88"/>
      <c r="U2" s="83"/>
      <c r="V2" s="83"/>
      <c r="W2" s="83"/>
      <c r="X2" s="83"/>
    </row>
    <row r="3" spans="1:24" s="28" customFormat="1" ht="16.2" thickBot="1" x14ac:dyDescent="0.35">
      <c r="B3" s="27"/>
      <c r="C3" s="82"/>
      <c r="D3" s="27"/>
      <c r="E3" s="27"/>
      <c r="F3" s="27"/>
      <c r="U3" s="82"/>
      <c r="V3" s="82"/>
      <c r="W3" s="82"/>
      <c r="X3" s="82"/>
    </row>
    <row r="4" spans="1:24" s="28" customFormat="1" ht="15.6" x14ac:dyDescent="0.3">
      <c r="A4" s="27"/>
      <c r="B4" s="29" t="s">
        <v>21</v>
      </c>
      <c r="C4" s="30"/>
      <c r="D4" s="30"/>
      <c r="E4" s="30"/>
      <c r="F4" s="30"/>
      <c r="G4" s="30"/>
      <c r="H4" s="30"/>
      <c r="I4" s="30"/>
      <c r="J4" s="30"/>
      <c r="K4" s="30"/>
      <c r="L4" s="31"/>
      <c r="M4" s="33"/>
      <c r="N4" s="33"/>
      <c r="O4" s="33"/>
      <c r="P4" s="33"/>
      <c r="Q4" s="33"/>
      <c r="R4" s="33"/>
      <c r="S4" s="33"/>
      <c r="U4" s="90" t="s">
        <v>68</v>
      </c>
      <c r="V4" s="90"/>
      <c r="W4" s="82"/>
      <c r="X4" s="82"/>
    </row>
    <row r="5" spans="1:24" s="28" customFormat="1" ht="15.6" x14ac:dyDescent="0.3">
      <c r="A5" s="27"/>
      <c r="B5" s="32"/>
      <c r="C5" s="33"/>
      <c r="D5" s="33"/>
      <c r="E5" s="93" t="s">
        <v>40</v>
      </c>
      <c r="F5" s="94" t="s">
        <v>38</v>
      </c>
      <c r="G5" s="95" t="s">
        <v>39</v>
      </c>
      <c r="H5" s="33"/>
      <c r="I5" s="102" t="s">
        <v>84</v>
      </c>
      <c r="J5" s="33"/>
      <c r="K5" s="33"/>
      <c r="L5" s="34"/>
      <c r="M5" s="33"/>
      <c r="N5" s="33"/>
      <c r="O5" s="33"/>
      <c r="P5" s="33"/>
      <c r="Q5" s="33"/>
      <c r="R5" s="33"/>
      <c r="S5" s="33"/>
      <c r="U5" s="90" t="s">
        <v>69</v>
      </c>
      <c r="V5" s="90"/>
      <c r="W5" s="82"/>
      <c r="X5" s="82"/>
    </row>
    <row r="6" spans="1:24" s="28" customFormat="1" ht="15.6" x14ac:dyDescent="0.3">
      <c r="A6" s="27"/>
      <c r="B6" s="32" t="s">
        <v>22</v>
      </c>
      <c r="C6" s="33" t="s">
        <v>43</v>
      </c>
      <c r="D6" s="96"/>
      <c r="E6" s="33"/>
      <c r="F6" s="33"/>
      <c r="G6" s="109" t="s">
        <v>156</v>
      </c>
      <c r="H6" s="33"/>
      <c r="I6" s="33" t="s">
        <v>85</v>
      </c>
      <c r="J6" s="33" t="s">
        <v>87</v>
      </c>
      <c r="K6" s="33"/>
      <c r="L6" s="34"/>
      <c r="M6" s="33"/>
      <c r="N6" s="33"/>
      <c r="O6" s="33"/>
      <c r="P6" s="33"/>
      <c r="Q6" s="33"/>
      <c r="R6" s="33"/>
      <c r="S6" s="33"/>
      <c r="U6" s="90"/>
      <c r="V6" s="90"/>
      <c r="W6" s="82"/>
      <c r="X6" s="82"/>
    </row>
    <row r="7" spans="1:24" s="28" customFormat="1" ht="15.6" x14ac:dyDescent="0.3">
      <c r="A7" s="27"/>
      <c r="B7" s="32"/>
      <c r="C7" s="33" t="s">
        <v>44</v>
      </c>
      <c r="D7" s="97"/>
      <c r="E7" s="35" t="s">
        <v>0</v>
      </c>
      <c r="F7" s="33"/>
      <c r="G7" s="33"/>
      <c r="H7" s="33"/>
      <c r="I7" s="33" t="s">
        <v>86</v>
      </c>
      <c r="J7" s="33" t="s">
        <v>88</v>
      </c>
      <c r="K7" s="33"/>
      <c r="L7" s="34"/>
      <c r="M7" s="33"/>
      <c r="N7" s="33"/>
      <c r="O7" s="33"/>
      <c r="P7" s="33"/>
      <c r="Q7" s="33"/>
      <c r="R7" s="33"/>
      <c r="S7" s="33"/>
      <c r="U7" s="90"/>
      <c r="V7" s="90" t="s">
        <v>125</v>
      </c>
      <c r="W7" s="82"/>
      <c r="X7" s="82"/>
    </row>
    <row r="8" spans="1:24" s="28" customFormat="1" ht="15.6" x14ac:dyDescent="0.3">
      <c r="A8" s="27"/>
      <c r="B8" s="32"/>
      <c r="C8" s="33" t="s">
        <v>47</v>
      </c>
      <c r="D8" s="98">
        <f>+'Phased costs'!N64</f>
        <v>0</v>
      </c>
      <c r="E8" s="35"/>
      <c r="F8" s="33"/>
      <c r="G8" s="33"/>
      <c r="H8" s="33"/>
      <c r="I8" s="55" t="s">
        <v>104</v>
      </c>
      <c r="J8" s="55" t="s">
        <v>105</v>
      </c>
      <c r="K8" s="33"/>
      <c r="L8" s="34"/>
      <c r="M8" s="33"/>
      <c r="N8" s="33"/>
      <c r="O8" s="33"/>
      <c r="P8" s="33"/>
      <c r="Q8" s="33"/>
      <c r="R8" s="33"/>
      <c r="S8" s="33"/>
      <c r="U8" s="90"/>
      <c r="V8" s="90" t="s">
        <v>126</v>
      </c>
      <c r="W8" s="82"/>
      <c r="X8" s="82"/>
    </row>
    <row r="9" spans="1:24" s="28" customFormat="1" ht="15.6" x14ac:dyDescent="0.3">
      <c r="A9" s="27"/>
      <c r="B9" s="32"/>
      <c r="C9" s="33" t="s">
        <v>124</v>
      </c>
      <c r="D9" s="108" t="s">
        <v>125</v>
      </c>
      <c r="E9" s="35"/>
      <c r="F9" s="33"/>
      <c r="G9" s="33"/>
      <c r="H9" s="33"/>
      <c r="I9" s="33" t="s">
        <v>90</v>
      </c>
      <c r="J9" s="33" t="s">
        <v>93</v>
      </c>
      <c r="K9" s="33"/>
      <c r="L9" s="34"/>
      <c r="M9" s="33"/>
      <c r="N9" s="33"/>
      <c r="O9" s="33"/>
      <c r="P9" s="33"/>
      <c r="Q9" s="33"/>
      <c r="R9" s="33"/>
      <c r="S9" s="33"/>
      <c r="U9" s="90"/>
      <c r="V9" s="90" t="s">
        <v>127</v>
      </c>
      <c r="W9" s="82"/>
      <c r="X9" s="82"/>
    </row>
    <row r="10" spans="1:24" s="28" customFormat="1" ht="15.6" x14ac:dyDescent="0.3">
      <c r="A10" s="27"/>
      <c r="B10" s="32"/>
      <c r="C10" s="33" t="s">
        <v>23</v>
      </c>
      <c r="D10" s="96"/>
      <c r="E10" s="92" t="str">
        <f>IF(AND(OR(D9="Maternity",D9="Shared Parental"),U10=TRUE),"Error-please complete date","")</f>
        <v>Error-please complete date</v>
      </c>
      <c r="F10" s="55"/>
      <c r="G10" s="120" t="s">
        <v>89</v>
      </c>
      <c r="H10" s="120"/>
      <c r="I10" s="33" t="s">
        <v>91</v>
      </c>
      <c r="J10" s="33" t="s">
        <v>94</v>
      </c>
      <c r="K10" s="33"/>
      <c r="L10" s="34"/>
      <c r="M10" s="33"/>
      <c r="N10" s="33"/>
      <c r="O10" s="33"/>
      <c r="P10" s="33"/>
      <c r="Q10" s="33"/>
      <c r="R10" s="33"/>
      <c r="S10" s="33"/>
      <c r="U10" s="90" t="b">
        <f>ISBLANK(D10)</f>
        <v>1</v>
      </c>
      <c r="V10" s="90"/>
      <c r="W10" s="82"/>
      <c r="X10" s="82"/>
    </row>
    <row r="11" spans="1:24" s="28" customFormat="1" ht="15.6" x14ac:dyDescent="0.3">
      <c r="A11" s="27"/>
      <c r="B11" s="84" t="s">
        <v>97</v>
      </c>
      <c r="C11" s="33" t="s">
        <v>98</v>
      </c>
      <c r="D11" s="96"/>
      <c r="E11" s="92" t="str">
        <f>IF(AND(D9="Adoption",U11=TRUE),"Error-please complete date","")</f>
        <v/>
      </c>
      <c r="F11" s="73"/>
      <c r="G11" s="120"/>
      <c r="H11" s="120"/>
      <c r="I11" s="33" t="s">
        <v>99</v>
      </c>
      <c r="J11" s="33" t="s">
        <v>101</v>
      </c>
      <c r="K11" s="33"/>
      <c r="L11" s="34"/>
      <c r="M11" s="33"/>
      <c r="N11" s="33"/>
      <c r="O11" s="33"/>
      <c r="P11" s="33"/>
      <c r="Q11" s="33"/>
      <c r="R11" s="33"/>
      <c r="S11" s="33"/>
      <c r="U11" s="91" t="b">
        <f>ISBLANK(D11)</f>
        <v>1</v>
      </c>
      <c r="V11" s="90"/>
      <c r="W11" s="82"/>
      <c r="X11" s="82"/>
    </row>
    <row r="12" spans="1:24" s="28" customFormat="1" ht="15.6" x14ac:dyDescent="0.3">
      <c r="A12" s="27"/>
      <c r="B12" s="99"/>
      <c r="C12" s="33" t="s">
        <v>131</v>
      </c>
      <c r="D12" s="96"/>
      <c r="E12" s="100" t="str">
        <f>VLOOKUP(D12,'Phased costs'!B:E,4,TRUE)</f>
        <v>2024/25</v>
      </c>
      <c r="F12" s="33"/>
      <c r="G12" s="33"/>
      <c r="H12" s="33"/>
      <c r="I12" s="33" t="s">
        <v>92</v>
      </c>
      <c r="J12" s="33" t="s">
        <v>95</v>
      </c>
      <c r="K12" s="33"/>
      <c r="L12" s="34"/>
      <c r="M12" s="33"/>
      <c r="N12" s="33"/>
      <c r="O12" s="33"/>
      <c r="P12" s="33"/>
      <c r="Q12" s="33"/>
      <c r="R12" s="33"/>
      <c r="S12" s="33"/>
      <c r="U12" s="82"/>
      <c r="V12" s="82"/>
      <c r="W12" s="82"/>
      <c r="X12" s="82"/>
    </row>
    <row r="13" spans="1:24" s="28" customFormat="1" ht="15.6" x14ac:dyDescent="0.3">
      <c r="A13" s="27"/>
      <c r="B13" s="32"/>
      <c r="C13" s="33" t="s">
        <v>132</v>
      </c>
      <c r="D13" s="119"/>
      <c r="E13" s="33"/>
      <c r="F13" s="73"/>
      <c r="G13" s="33"/>
      <c r="H13" s="33"/>
      <c r="I13" s="33" t="s">
        <v>96</v>
      </c>
      <c r="J13" s="33" t="s">
        <v>103</v>
      </c>
      <c r="K13" s="33"/>
      <c r="L13" s="34"/>
      <c r="M13" s="33"/>
      <c r="N13" s="33"/>
      <c r="O13" s="33"/>
      <c r="P13" s="33"/>
      <c r="Q13" s="33"/>
      <c r="R13" s="33"/>
      <c r="S13" s="33"/>
      <c r="U13" s="82"/>
      <c r="V13" s="82"/>
      <c r="W13" s="82"/>
      <c r="X13" s="82"/>
    </row>
    <row r="14" spans="1:24" s="28" customFormat="1" ht="15.6" x14ac:dyDescent="0.3">
      <c r="A14" s="27"/>
      <c r="B14" s="32"/>
      <c r="C14" s="33" t="s">
        <v>133</v>
      </c>
      <c r="D14" s="101">
        <f>D12+D13*7</f>
        <v>0</v>
      </c>
      <c r="E14" s="100" t="str">
        <f>VLOOKUP(D14,'Phased costs'!B:E,4,TRUE)</f>
        <v>2024/25</v>
      </c>
      <c r="F14" s="33"/>
      <c r="G14" s="33"/>
      <c r="H14" s="33"/>
      <c r="I14" s="33" t="s">
        <v>100</v>
      </c>
      <c r="J14" s="33" t="s">
        <v>102</v>
      </c>
      <c r="K14" s="55"/>
      <c r="L14" s="34"/>
      <c r="M14" s="33"/>
      <c r="N14" s="33"/>
      <c r="O14" s="33"/>
      <c r="P14" s="33"/>
      <c r="Q14" s="33"/>
      <c r="R14" s="33"/>
      <c r="S14" s="33"/>
      <c r="U14" s="91" t="s">
        <v>65</v>
      </c>
      <c r="V14" s="82"/>
      <c r="W14" s="82"/>
      <c r="X14" s="82"/>
    </row>
    <row r="15" spans="1:24" s="28" customFormat="1" ht="15.6" x14ac:dyDescent="0.3">
      <c r="A15" s="27"/>
      <c r="B15" s="32"/>
      <c r="C15" s="33" t="s">
        <v>24</v>
      </c>
      <c r="D15" s="108" t="s">
        <v>134</v>
      </c>
      <c r="E15" s="33" t="s">
        <v>146</v>
      </c>
      <c r="F15" s="33"/>
      <c r="G15" s="33"/>
      <c r="H15" s="33"/>
      <c r="L15" s="34"/>
      <c r="M15" s="33"/>
      <c r="N15" s="33"/>
      <c r="O15" s="33"/>
      <c r="P15" s="33"/>
      <c r="Q15" s="33"/>
      <c r="R15" s="33"/>
      <c r="S15" s="33"/>
      <c r="U15" s="91" t="s">
        <v>134</v>
      </c>
      <c r="V15" s="82"/>
      <c r="W15" s="82"/>
      <c r="X15" s="82"/>
    </row>
    <row r="16" spans="1:24" s="28" customFormat="1" ht="15.6" x14ac:dyDescent="0.3">
      <c r="A16" s="27"/>
      <c r="B16" s="32"/>
      <c r="C16" s="33" t="s">
        <v>119</v>
      </c>
      <c r="D16" s="98">
        <f>IF(ISBLANK(D10),0,D10-D6)</f>
        <v>0</v>
      </c>
      <c r="E16" s="33"/>
      <c r="F16" s="33"/>
      <c r="G16" s="33"/>
      <c r="H16" s="33"/>
      <c r="I16" s="55"/>
      <c r="J16" s="55"/>
      <c r="K16" s="33"/>
      <c r="L16" s="34"/>
      <c r="M16" s="33"/>
      <c r="N16" s="33"/>
      <c r="O16" s="33"/>
      <c r="P16" s="33"/>
      <c r="Q16" s="33"/>
      <c r="R16" s="33"/>
      <c r="S16" s="33"/>
      <c r="U16" s="91" t="s">
        <v>144</v>
      </c>
      <c r="V16" s="82"/>
      <c r="W16" s="82"/>
      <c r="X16" s="82"/>
    </row>
    <row r="17" spans="1:24" s="28" customFormat="1" ht="15.6" x14ac:dyDescent="0.3">
      <c r="A17" s="27"/>
      <c r="B17" s="32"/>
      <c r="C17" s="33" t="s">
        <v>118</v>
      </c>
      <c r="D17" s="98">
        <f>IF(ISBLANK(D11),0,+D11-D6)</f>
        <v>0</v>
      </c>
      <c r="E17" s="33"/>
      <c r="F17" s="33"/>
      <c r="G17" s="33"/>
      <c r="H17" s="33"/>
      <c r="I17" s="55"/>
      <c r="J17" s="55"/>
      <c r="K17" s="33"/>
      <c r="L17" s="34"/>
      <c r="M17" s="33"/>
      <c r="N17" s="33"/>
      <c r="O17" s="33"/>
      <c r="P17" s="33"/>
      <c r="Q17" s="33"/>
      <c r="R17" s="33"/>
      <c r="S17" s="33"/>
      <c r="U17" s="82"/>
      <c r="V17" s="82"/>
      <c r="W17" s="82"/>
      <c r="X17" s="82"/>
    </row>
    <row r="18" spans="1:24" s="28" customFormat="1" ht="15.6" x14ac:dyDescent="0.3">
      <c r="A18" s="27"/>
      <c r="B18" s="32"/>
      <c r="C18" s="33" t="s">
        <v>120</v>
      </c>
      <c r="D18" s="100" t="str">
        <f>IF(D16&gt;assumptions!G9,"OMP/OShPP",IF(AND(D16&gt;assumptions!G5,D9="Maternity"),"SMP",IF(AND(D16&gt;assumptions!G5,D9="Shared Parental"),"ShPP",IF(D17&gt;assumptions!G18,"OAP",IF(Summary!D17&gt;assumptions!G14,"SAP","n/a")))))</f>
        <v>n/a</v>
      </c>
      <c r="E18" s="33"/>
      <c r="F18" s="33"/>
      <c r="G18" s="33"/>
      <c r="H18" s="33"/>
      <c r="I18" s="33"/>
      <c r="J18" s="33"/>
      <c r="K18" s="33"/>
      <c r="L18" s="34"/>
      <c r="M18" s="33"/>
      <c r="N18" s="33"/>
      <c r="O18" s="33"/>
      <c r="P18" s="33"/>
      <c r="Q18" s="33"/>
      <c r="R18" s="33"/>
      <c r="S18" s="33"/>
      <c r="U18" s="82"/>
      <c r="V18" s="82"/>
      <c r="W18" s="82"/>
      <c r="X18" s="82"/>
    </row>
    <row r="19" spans="1:24" s="28" customFormat="1" ht="15.6" x14ac:dyDescent="0.3">
      <c r="A19" s="27"/>
      <c r="B19" s="32"/>
      <c r="C19" s="33" t="s">
        <v>67</v>
      </c>
      <c r="D19" s="108" t="s">
        <v>68</v>
      </c>
      <c r="E19" s="33"/>
      <c r="F19" s="120" t="s">
        <v>82</v>
      </c>
      <c r="G19" s="120"/>
      <c r="H19" s="120"/>
      <c r="I19" s="120"/>
      <c r="J19" s="120"/>
      <c r="K19" s="120"/>
      <c r="L19" s="121"/>
      <c r="M19" s="89"/>
      <c r="N19" s="89"/>
      <c r="O19" s="89"/>
      <c r="P19" s="89"/>
      <c r="Q19" s="89"/>
      <c r="R19" s="89"/>
      <c r="S19" s="89"/>
      <c r="U19" s="82"/>
      <c r="V19" s="82"/>
      <c r="W19" s="82"/>
      <c r="X19" s="82"/>
    </row>
    <row r="20" spans="1:24" s="28" customFormat="1" ht="15.6" x14ac:dyDescent="0.3">
      <c r="A20" s="27"/>
      <c r="B20" s="32"/>
      <c r="C20" s="33"/>
      <c r="D20" s="33"/>
      <c r="E20" s="33"/>
      <c r="F20" s="120"/>
      <c r="G20" s="120"/>
      <c r="H20" s="120"/>
      <c r="I20" s="120"/>
      <c r="J20" s="120"/>
      <c r="K20" s="120"/>
      <c r="L20" s="121"/>
      <c r="M20" s="89"/>
      <c r="N20" s="89"/>
      <c r="O20" s="89"/>
      <c r="P20" s="89"/>
      <c r="Q20" s="89"/>
      <c r="R20" s="89"/>
      <c r="S20" s="89"/>
      <c r="U20" s="82"/>
      <c r="V20" s="82"/>
      <c r="W20" s="82"/>
      <c r="X20" s="82"/>
    </row>
    <row r="21" spans="1:24" s="28" customFormat="1" ht="15.6" x14ac:dyDescent="0.3">
      <c r="A21" s="27"/>
      <c r="B21" s="32"/>
      <c r="C21" s="33"/>
      <c r="D21" s="33"/>
      <c r="E21" s="33"/>
      <c r="F21" s="112" t="s">
        <v>157</v>
      </c>
      <c r="G21" s="33"/>
      <c r="H21" s="33"/>
      <c r="I21" s="33"/>
      <c r="J21" s="33"/>
      <c r="K21" s="33"/>
      <c r="L21" s="34"/>
      <c r="M21" s="33"/>
      <c r="N21" s="33"/>
      <c r="O21" s="33"/>
      <c r="P21" s="33"/>
      <c r="Q21" s="33"/>
      <c r="R21" s="33"/>
      <c r="S21" s="33"/>
      <c r="U21" s="82"/>
      <c r="V21" s="82"/>
      <c r="W21" s="82"/>
      <c r="X21" s="82"/>
    </row>
    <row r="22" spans="1:24" s="28" customFormat="1" ht="16.2" thickBot="1" x14ac:dyDescent="0.35">
      <c r="A22" s="27"/>
      <c r="B22" s="36"/>
      <c r="C22" s="37"/>
      <c r="D22" s="37"/>
      <c r="E22" s="37"/>
      <c r="F22" s="37"/>
      <c r="G22" s="37"/>
      <c r="H22" s="37"/>
      <c r="I22" s="37"/>
      <c r="J22" s="37"/>
      <c r="K22" s="37"/>
      <c r="L22" s="38"/>
      <c r="M22" s="33"/>
      <c r="N22" s="33"/>
      <c r="O22" s="33"/>
      <c r="P22" s="33"/>
      <c r="Q22" s="33"/>
      <c r="R22" s="33"/>
      <c r="S22" s="33"/>
    </row>
    <row r="23" spans="1:24" s="28" customFormat="1" ht="16.2" thickBot="1" x14ac:dyDescent="0.35">
      <c r="A23" s="27"/>
      <c r="B23" s="27"/>
      <c r="C23" s="27"/>
      <c r="D23" s="27"/>
      <c r="E23" s="27"/>
      <c r="F23" s="27"/>
    </row>
    <row r="24" spans="1:24" s="28" customFormat="1" ht="15.6" x14ac:dyDescent="0.3">
      <c r="B24" s="42" t="s">
        <v>51</v>
      </c>
      <c r="C24" s="43"/>
      <c r="D24" s="59" t="s">
        <v>56</v>
      </c>
      <c r="E24" s="43"/>
      <c r="F24" s="43"/>
      <c r="G24" s="43"/>
      <c r="H24" s="43"/>
      <c r="I24" s="43"/>
      <c r="J24" s="43"/>
      <c r="K24" s="43"/>
      <c r="L24" s="44"/>
      <c r="M24" s="55"/>
      <c r="N24" s="55"/>
      <c r="O24" s="55"/>
      <c r="P24" s="55"/>
      <c r="Q24" s="55"/>
      <c r="R24" s="55"/>
      <c r="S24" s="55"/>
    </row>
    <row r="25" spans="1:24" s="28" customFormat="1" ht="15.6" x14ac:dyDescent="0.3">
      <c r="B25" s="45"/>
      <c r="C25" s="55"/>
      <c r="D25" s="55"/>
      <c r="E25" s="55"/>
      <c r="F25" s="55"/>
      <c r="G25" s="55"/>
      <c r="H25" s="55"/>
      <c r="I25" s="55"/>
      <c r="J25" s="55"/>
      <c r="K25" s="55"/>
      <c r="L25" s="56"/>
      <c r="M25" s="55"/>
      <c r="N25" s="55"/>
      <c r="O25" s="55"/>
      <c r="P25" s="55"/>
      <c r="Q25" s="55"/>
      <c r="R25" s="55"/>
      <c r="S25" s="55"/>
    </row>
    <row r="26" spans="1:24" ht="15.6" x14ac:dyDescent="0.3">
      <c r="B26" s="45" t="s">
        <v>52</v>
      </c>
      <c r="C26" s="46">
        <f>+Summary!D12</f>
        <v>0</v>
      </c>
      <c r="D26" s="47" t="s">
        <v>7</v>
      </c>
      <c r="E26" s="46">
        <f>+Summary!D14</f>
        <v>0</v>
      </c>
      <c r="F26" s="33"/>
      <c r="G26" s="33"/>
      <c r="H26" s="33"/>
      <c r="I26" s="33"/>
      <c r="J26" s="33"/>
      <c r="K26" s="33"/>
      <c r="L26" s="34"/>
      <c r="M26" s="33"/>
      <c r="N26" s="33"/>
      <c r="O26" s="33"/>
      <c r="P26" s="33"/>
      <c r="Q26" s="33"/>
      <c r="R26" s="33"/>
      <c r="S26" s="33"/>
    </row>
    <row r="27" spans="1:24" ht="15.6" x14ac:dyDescent="0.3">
      <c r="B27" s="32"/>
      <c r="D27" s="48">
        <f>+Summary!D13</f>
        <v>0</v>
      </c>
      <c r="E27" s="48" t="s">
        <v>13</v>
      </c>
      <c r="F27" s="48"/>
      <c r="G27" s="48"/>
      <c r="H27" s="33"/>
      <c r="I27" s="33"/>
      <c r="J27" s="33"/>
      <c r="K27" s="33"/>
      <c r="L27" s="34"/>
      <c r="M27" s="33"/>
      <c r="N27" s="33"/>
      <c r="O27" s="33"/>
      <c r="P27" s="33"/>
      <c r="Q27" s="33"/>
      <c r="R27" s="33"/>
      <c r="S27" s="33"/>
    </row>
    <row r="28" spans="1:24" ht="15.6" x14ac:dyDescent="0.3">
      <c r="B28" s="45"/>
      <c r="C28" s="46"/>
      <c r="D28" s="47" t="s">
        <v>53</v>
      </c>
      <c r="E28" s="46"/>
      <c r="F28" s="48"/>
      <c r="G28" s="48"/>
      <c r="H28" s="33"/>
      <c r="I28" s="33"/>
      <c r="J28" s="33"/>
      <c r="K28" s="33"/>
      <c r="L28" s="34"/>
      <c r="M28" s="33"/>
      <c r="N28" s="33"/>
      <c r="O28" s="33"/>
      <c r="P28" s="33"/>
      <c r="Q28" s="33"/>
      <c r="R28" s="33"/>
      <c r="S28" s="33"/>
    </row>
    <row r="29" spans="1:24" x14ac:dyDescent="0.3">
      <c r="B29" s="49" t="s">
        <v>135</v>
      </c>
      <c r="C29" s="41"/>
      <c r="D29" s="39">
        <f>+'Phased costs'!AC64</f>
        <v>0</v>
      </c>
      <c r="E29" s="33"/>
      <c r="F29" s="73" t="s">
        <v>136</v>
      </c>
      <c r="G29" s="33"/>
      <c r="H29" s="33"/>
      <c r="I29" s="33"/>
      <c r="J29" s="33"/>
      <c r="K29" s="33"/>
      <c r="L29" s="34"/>
      <c r="M29" s="33"/>
      <c r="N29" s="33"/>
      <c r="O29" s="33"/>
      <c r="P29" s="33"/>
      <c r="Q29" s="33"/>
      <c r="R29" s="33"/>
      <c r="S29" s="33"/>
    </row>
    <row r="30" spans="1:24" x14ac:dyDescent="0.3">
      <c r="B30" s="72" t="s">
        <v>70</v>
      </c>
      <c r="C30" s="40"/>
      <c r="D30" s="39">
        <f>IF(D19="Y",+'Phased costs'!N7*2,0)</f>
        <v>0</v>
      </c>
      <c r="E30" s="33"/>
      <c r="F30" s="33"/>
      <c r="G30" s="33"/>
      <c r="H30" s="33"/>
      <c r="I30" s="33"/>
      <c r="J30" s="33"/>
      <c r="K30" s="33"/>
      <c r="L30" s="34"/>
      <c r="M30" s="33"/>
      <c r="N30" s="33"/>
      <c r="O30" s="33"/>
      <c r="P30" s="33"/>
      <c r="Q30" s="33"/>
      <c r="R30" s="33"/>
      <c r="S30" s="33"/>
    </row>
    <row r="31" spans="1:24" x14ac:dyDescent="0.3">
      <c r="B31" s="72" t="s">
        <v>73</v>
      </c>
      <c r="C31" s="40"/>
      <c r="D31" s="74">
        <f>-SUMIF('Phased costs'!E3:E62,"2020/21",'Phased costs'!AC3:AC62)</f>
        <v>0</v>
      </c>
      <c r="E31" s="33"/>
      <c r="F31" s="73"/>
      <c r="G31" s="33"/>
      <c r="H31" s="33"/>
      <c r="I31" s="33"/>
      <c r="J31" s="33"/>
      <c r="K31" s="33"/>
      <c r="L31" s="34"/>
      <c r="M31" s="33"/>
      <c r="N31" s="33"/>
      <c r="O31" s="33"/>
      <c r="P31" s="33"/>
      <c r="Q31" s="33"/>
      <c r="R31" s="33"/>
      <c r="S31" s="33"/>
    </row>
    <row r="32" spans="1:24" ht="15.6" x14ac:dyDescent="0.3">
      <c r="B32" s="75" t="s">
        <v>71</v>
      </c>
      <c r="C32" s="76"/>
      <c r="D32" s="77">
        <f>SUM(D29:D31)</f>
        <v>0</v>
      </c>
      <c r="E32" s="33"/>
      <c r="F32" s="73" t="s">
        <v>158</v>
      </c>
      <c r="G32" s="33"/>
      <c r="H32" s="33"/>
      <c r="I32" s="33"/>
      <c r="J32" s="33"/>
      <c r="K32" s="33"/>
      <c r="L32" s="34"/>
      <c r="M32" s="33"/>
      <c r="N32" s="33"/>
      <c r="O32" s="33"/>
      <c r="P32" s="33"/>
      <c r="Q32" s="33"/>
      <c r="R32" s="33"/>
      <c r="S32" s="33"/>
    </row>
    <row r="33" spans="2:19" x14ac:dyDescent="0.3">
      <c r="B33" s="32"/>
      <c r="C33" s="33"/>
      <c r="D33" s="33"/>
      <c r="E33" s="33"/>
      <c r="F33" s="33"/>
      <c r="G33" s="33"/>
      <c r="H33" s="33"/>
      <c r="I33" s="33"/>
      <c r="J33" s="33"/>
      <c r="K33" s="33"/>
      <c r="L33" s="34"/>
      <c r="M33" s="33"/>
      <c r="N33" s="33"/>
      <c r="O33" s="33"/>
      <c r="P33" s="33"/>
      <c r="Q33" s="33"/>
      <c r="R33" s="33"/>
      <c r="S33" s="33"/>
    </row>
    <row r="34" spans="2:19" x14ac:dyDescent="0.3">
      <c r="B34" s="32"/>
      <c r="C34" s="33"/>
      <c r="D34" s="33"/>
      <c r="E34" s="33"/>
      <c r="F34" s="33"/>
      <c r="G34" s="33"/>
      <c r="H34" s="33"/>
      <c r="I34" s="33"/>
      <c r="J34" s="33"/>
      <c r="K34" s="33"/>
      <c r="L34" s="34"/>
      <c r="M34" s="33"/>
      <c r="N34" s="33"/>
      <c r="O34" s="33"/>
      <c r="P34" s="33"/>
      <c r="Q34" s="33"/>
      <c r="R34" s="33"/>
      <c r="S34" s="33"/>
    </row>
    <row r="35" spans="2:19" x14ac:dyDescent="0.3">
      <c r="B35" s="50" t="s">
        <v>75</v>
      </c>
      <c r="C35" s="33"/>
      <c r="D35" s="33"/>
      <c r="E35" s="33"/>
      <c r="F35" s="33"/>
      <c r="G35" s="33"/>
      <c r="H35" s="33"/>
      <c r="I35" s="33"/>
      <c r="J35" s="33"/>
      <c r="K35" s="33"/>
      <c r="L35" s="34"/>
      <c r="M35" s="33"/>
      <c r="N35" s="33"/>
      <c r="O35" s="33"/>
      <c r="P35" s="33"/>
      <c r="Q35" s="33"/>
      <c r="R35" s="33"/>
      <c r="S35" s="33"/>
    </row>
    <row r="36" spans="2:19" x14ac:dyDescent="0.3">
      <c r="B36" s="50" t="s">
        <v>54</v>
      </c>
      <c r="C36" s="33"/>
      <c r="D36" s="51" t="str">
        <f>+Summary!E12</f>
        <v>2024/25</v>
      </c>
      <c r="E36" s="103" t="str">
        <f>IF(+Summary!E14=D36,"",E14)</f>
        <v/>
      </c>
      <c r="F36" s="52" t="s">
        <v>50</v>
      </c>
      <c r="G36" s="33"/>
      <c r="H36" s="33"/>
      <c r="I36" s="33"/>
      <c r="J36" s="33"/>
      <c r="K36" s="33"/>
      <c r="L36" s="34"/>
      <c r="M36" s="33"/>
      <c r="N36" s="33"/>
      <c r="O36" s="33"/>
      <c r="P36" s="33"/>
      <c r="Q36" s="33"/>
      <c r="R36" s="33"/>
      <c r="S36" s="33"/>
    </row>
    <row r="37" spans="2:19" x14ac:dyDescent="0.3">
      <c r="B37" s="32" t="s">
        <v>137</v>
      </c>
      <c r="C37" s="33"/>
      <c r="D37" s="53">
        <f>COUNTIFS('Phased costs'!$S$3:$S$63,"L",'Phased costs'!$E$3:$E$63,Summary!D36)</f>
        <v>0</v>
      </c>
      <c r="E37" s="53">
        <f>COUNTIFS('Phased costs'!$S$3:$S$63,"L",'Phased costs'!$E$3:$E$63,Summary!E36)</f>
        <v>0</v>
      </c>
      <c r="F37" s="53">
        <f>SUM(D37:E37)</f>
        <v>0</v>
      </c>
      <c r="G37" s="33"/>
      <c r="H37" s="33"/>
      <c r="I37" s="33"/>
      <c r="J37" s="33"/>
      <c r="K37" s="33"/>
      <c r="L37" s="34"/>
      <c r="M37" s="33"/>
      <c r="N37" s="33"/>
      <c r="O37" s="33"/>
      <c r="P37" s="33"/>
      <c r="Q37" s="33"/>
      <c r="R37" s="33"/>
      <c r="S37" s="33"/>
    </row>
    <row r="38" spans="2:19" x14ac:dyDescent="0.3">
      <c r="B38" s="54"/>
      <c r="C38" s="33"/>
      <c r="D38" s="33"/>
      <c r="E38" s="33"/>
      <c r="F38" s="33"/>
      <c r="G38" s="35"/>
      <c r="H38" s="33"/>
      <c r="I38" s="33"/>
      <c r="J38" s="33"/>
      <c r="K38" s="33"/>
      <c r="L38" s="34"/>
      <c r="M38" s="33"/>
      <c r="N38" s="33"/>
      <c r="O38" s="33"/>
      <c r="P38" s="33"/>
      <c r="Q38" s="33"/>
      <c r="R38" s="33"/>
      <c r="S38" s="33"/>
    </row>
    <row r="39" spans="2:19" x14ac:dyDescent="0.3">
      <c r="B39" s="54" t="s">
        <v>138</v>
      </c>
      <c r="C39" s="33"/>
      <c r="D39" s="53">
        <f>SUMIF('Phased costs'!$E:$E,Summary!$D$36,'Phased costs'!$AC:$AC)</f>
        <v>0</v>
      </c>
      <c r="E39" s="53">
        <f>IF(E36="",0,SUMIF('Phased costs'!$E:$E,Summary!$E$36,'Phased costs'!$AC:$AC))</f>
        <v>0</v>
      </c>
      <c r="F39" s="53">
        <f>SUM(D39:E39)</f>
        <v>0</v>
      </c>
      <c r="G39" s="35"/>
      <c r="H39" s="33"/>
      <c r="I39" s="33"/>
      <c r="J39" s="33"/>
      <c r="K39" s="33"/>
      <c r="L39" s="34"/>
      <c r="M39" s="33"/>
      <c r="N39" s="33"/>
      <c r="O39" s="33"/>
      <c r="P39" s="33"/>
      <c r="Q39" s="33"/>
      <c r="R39" s="33"/>
      <c r="S39" s="33"/>
    </row>
    <row r="40" spans="2:19" x14ac:dyDescent="0.3">
      <c r="B40" s="32" t="s">
        <v>72</v>
      </c>
      <c r="C40" s="33"/>
      <c r="D40" s="53">
        <f>+D30</f>
        <v>0</v>
      </c>
      <c r="E40" s="53">
        <v>0</v>
      </c>
      <c r="F40" s="53">
        <f>SUM(D40:E40)</f>
        <v>0</v>
      </c>
      <c r="G40" s="35"/>
      <c r="H40" s="33"/>
      <c r="I40" s="33"/>
      <c r="J40" s="33"/>
      <c r="K40" s="33"/>
      <c r="L40" s="34"/>
      <c r="M40" s="33"/>
      <c r="N40" s="33"/>
      <c r="O40" s="33"/>
      <c r="P40" s="33"/>
      <c r="Q40" s="33"/>
      <c r="R40" s="33"/>
      <c r="S40" s="33"/>
    </row>
    <row r="41" spans="2:19" x14ac:dyDescent="0.3">
      <c r="B41" s="50" t="s">
        <v>74</v>
      </c>
      <c r="C41" s="33"/>
      <c r="D41" s="53">
        <f>SUM(D39:D40)</f>
        <v>0</v>
      </c>
      <c r="E41" s="53">
        <f t="shared" ref="E41:F41" si="0">SUM(E39:E40)</f>
        <v>0</v>
      </c>
      <c r="F41" s="53">
        <f t="shared" si="0"/>
        <v>0</v>
      </c>
      <c r="G41" s="35"/>
      <c r="H41" s="33"/>
      <c r="I41" s="33"/>
      <c r="J41" s="33"/>
      <c r="K41" s="33"/>
      <c r="L41" s="34"/>
      <c r="M41" s="33"/>
      <c r="N41" s="33"/>
      <c r="O41" s="33"/>
      <c r="P41" s="33"/>
      <c r="Q41" s="33"/>
      <c r="R41" s="33"/>
      <c r="S41" s="33"/>
    </row>
    <row r="42" spans="2:19" x14ac:dyDescent="0.3">
      <c r="B42" s="32"/>
      <c r="C42" s="33"/>
      <c r="D42" s="33"/>
      <c r="E42" s="33"/>
      <c r="F42" s="33"/>
      <c r="G42" s="35"/>
      <c r="H42" s="33"/>
      <c r="I42" s="33"/>
      <c r="J42" s="33"/>
      <c r="K42" s="33"/>
      <c r="L42" s="34"/>
      <c r="M42" s="33"/>
      <c r="N42" s="33"/>
      <c r="O42" s="33"/>
      <c r="P42" s="33"/>
      <c r="Q42" s="33"/>
      <c r="R42" s="33"/>
      <c r="S42" s="33"/>
    </row>
    <row r="43" spans="2:19" ht="15" thickBot="1" x14ac:dyDescent="0.35">
      <c r="B43" s="36"/>
      <c r="C43" s="37"/>
      <c r="D43" s="37"/>
      <c r="E43" s="37"/>
      <c r="F43" s="37"/>
      <c r="G43" s="37"/>
      <c r="H43" s="37"/>
      <c r="I43" s="37"/>
      <c r="J43" s="37"/>
      <c r="K43" s="37"/>
      <c r="L43" s="38"/>
      <c r="M43" s="33"/>
      <c r="N43" s="33"/>
      <c r="O43" s="33"/>
      <c r="P43" s="33"/>
      <c r="Q43" s="33"/>
      <c r="R43" s="33"/>
      <c r="S43" s="33"/>
    </row>
  </sheetData>
  <dataConsolidate/>
  <mergeCells count="3">
    <mergeCell ref="F19:L20"/>
    <mergeCell ref="B2:L2"/>
    <mergeCell ref="G10:H11"/>
  </mergeCells>
  <dataValidations count="3">
    <dataValidation type="list" allowBlank="1" showInputMessage="1" showErrorMessage="1" sqref="D19" xr:uid="{7C8DA4B4-DF1A-43FA-822F-1662B5C564A6}">
      <formula1>$U$4:$U$5</formula1>
    </dataValidation>
    <dataValidation type="list" allowBlank="1" showInputMessage="1" showErrorMessage="1" sqref="D9" xr:uid="{FA733907-E5E8-4A50-AB71-AAF3D3A15B6C}">
      <formula1>$V$7:$V$9</formula1>
    </dataValidation>
    <dataValidation type="list" allowBlank="1" showInputMessage="1" showErrorMessage="1" sqref="D15" xr:uid="{36EA8E89-2912-4330-8269-0D5F768C3E15}">
      <formula1>$U$14:$U$16</formula1>
    </dataValidation>
  </dataValidations>
  <hyperlinks>
    <hyperlink ref="F21" r:id="rId1" xr:uid="{42FCC93C-18DF-4590-9FC1-00E2D0E6492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660B-A956-45D4-B847-574B20699467}">
  <dimension ref="A1:A13"/>
  <sheetViews>
    <sheetView workbookViewId="0">
      <selection activeCell="A7" sqref="A7"/>
    </sheetView>
  </sheetViews>
  <sheetFormatPr defaultRowHeight="14.4" x14ac:dyDescent="0.3"/>
  <cols>
    <col min="1" max="1" width="75" customWidth="1"/>
  </cols>
  <sheetData>
    <row r="1" spans="1:1" x14ac:dyDescent="0.3">
      <c r="A1" t="s">
        <v>83</v>
      </c>
    </row>
    <row r="3" spans="1:1" x14ac:dyDescent="0.3">
      <c r="A3" s="81" t="s">
        <v>81</v>
      </c>
    </row>
    <row r="5" spans="1:1" x14ac:dyDescent="0.3">
      <c r="A5" s="78" t="s">
        <v>76</v>
      </c>
    </row>
    <row r="6" spans="1:1" x14ac:dyDescent="0.3">
      <c r="A6" s="79"/>
    </row>
    <row r="7" spans="1:1" ht="27.6" x14ac:dyDescent="0.3">
      <c r="A7" s="80" t="s">
        <v>77</v>
      </c>
    </row>
    <row r="8" spans="1:1" x14ac:dyDescent="0.3">
      <c r="A8" s="79"/>
    </row>
    <row r="9" spans="1:1" ht="55.2" x14ac:dyDescent="0.3">
      <c r="A9" s="80" t="s">
        <v>78</v>
      </c>
    </row>
    <row r="10" spans="1:1" x14ac:dyDescent="0.3">
      <c r="A10" s="79"/>
    </row>
    <row r="11" spans="1:1" ht="82.8" x14ac:dyDescent="0.3">
      <c r="A11" s="80" t="s">
        <v>79</v>
      </c>
    </row>
    <row r="12" spans="1:1" x14ac:dyDescent="0.3">
      <c r="A12" s="79"/>
    </row>
    <row r="13" spans="1:1" ht="82.8" x14ac:dyDescent="0.3">
      <c r="A13" s="80" t="s">
        <v>80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86"/>
  <sheetViews>
    <sheetView topLeftCell="A61" workbookViewId="0">
      <selection activeCell="A85" sqref="A85"/>
    </sheetView>
  </sheetViews>
  <sheetFormatPr defaultRowHeight="14.4" x14ac:dyDescent="0.3"/>
  <cols>
    <col min="1" max="1" width="1.6640625" customWidth="1"/>
    <col min="2" max="2" width="17.5546875" bestFit="1" customWidth="1"/>
    <col min="3" max="3" width="28.6640625" customWidth="1"/>
    <col min="4" max="4" width="12.109375" bestFit="1" customWidth="1"/>
    <col min="5" max="5" width="10.6640625" bestFit="1" customWidth="1"/>
    <col min="6" max="6" width="11.44140625" customWidth="1"/>
    <col min="7" max="7" width="10.88671875" customWidth="1"/>
    <col min="9" max="9" width="10.5546875" bestFit="1" customWidth="1"/>
    <col min="12" max="12" width="10.6640625" bestFit="1" customWidth="1"/>
    <col min="18" max="18" width="10.6640625" bestFit="1" customWidth="1"/>
  </cols>
  <sheetData>
    <row r="1" spans="2:19" x14ac:dyDescent="0.3">
      <c r="B1" s="22"/>
      <c r="C1" s="22"/>
      <c r="D1" s="22"/>
      <c r="E1" s="22"/>
      <c r="F1" s="22"/>
      <c r="G1" s="22"/>
      <c r="Q1" t="s">
        <v>62</v>
      </c>
      <c r="R1" s="4">
        <v>45049</v>
      </c>
      <c r="S1" t="s">
        <v>172</v>
      </c>
    </row>
    <row r="2" spans="2:19" x14ac:dyDescent="0.3">
      <c r="B2" s="7" t="s">
        <v>106</v>
      </c>
      <c r="S2" t="s">
        <v>173</v>
      </c>
    </row>
    <row r="3" spans="2:19" x14ac:dyDescent="0.3">
      <c r="B3" s="7"/>
      <c r="C3" s="7" t="s">
        <v>114</v>
      </c>
      <c r="S3" t="s">
        <v>171</v>
      </c>
    </row>
    <row r="4" spans="2:19" x14ac:dyDescent="0.3">
      <c r="B4" s="8" t="s">
        <v>17</v>
      </c>
      <c r="C4" t="s">
        <v>11</v>
      </c>
      <c r="S4" t="s">
        <v>148</v>
      </c>
    </row>
    <row r="5" spans="2:19" x14ac:dyDescent="0.3">
      <c r="C5" t="s">
        <v>12</v>
      </c>
      <c r="E5">
        <f>15+26</f>
        <v>41</v>
      </c>
      <c r="F5" t="s">
        <v>13</v>
      </c>
      <c r="G5">
        <f>+E5*7</f>
        <v>287</v>
      </c>
      <c r="H5" t="s">
        <v>14</v>
      </c>
      <c r="S5" t="s">
        <v>149</v>
      </c>
    </row>
    <row r="6" spans="2:19" x14ac:dyDescent="0.3">
      <c r="Q6" t="s">
        <v>150</v>
      </c>
      <c r="S6" t="s">
        <v>151</v>
      </c>
    </row>
    <row r="7" spans="2:19" x14ac:dyDescent="0.3">
      <c r="C7" s="7" t="s">
        <v>115</v>
      </c>
    </row>
    <row r="8" spans="2:19" x14ac:dyDescent="0.3">
      <c r="B8" s="9" t="s">
        <v>17</v>
      </c>
      <c r="C8" t="s">
        <v>16</v>
      </c>
      <c r="Q8" t="s">
        <v>179</v>
      </c>
      <c r="R8" s="4">
        <v>45615</v>
      </c>
      <c r="S8" t="s">
        <v>180</v>
      </c>
    </row>
    <row r="9" spans="2:19" x14ac:dyDescent="0.3">
      <c r="C9" t="s">
        <v>12</v>
      </c>
      <c r="E9">
        <v>52</v>
      </c>
      <c r="F9" t="s">
        <v>13</v>
      </c>
      <c r="G9">
        <f>+E9*7</f>
        <v>364</v>
      </c>
      <c r="H9" t="s">
        <v>14</v>
      </c>
      <c r="S9" t="s">
        <v>181</v>
      </c>
    </row>
    <row r="10" spans="2:19" x14ac:dyDescent="0.3">
      <c r="S10" t="s">
        <v>182</v>
      </c>
    </row>
    <row r="11" spans="2:19" x14ac:dyDescent="0.3">
      <c r="B11" s="7" t="s">
        <v>107</v>
      </c>
    </row>
    <row r="12" spans="2:19" x14ac:dyDescent="0.3">
      <c r="B12" s="7"/>
      <c r="C12" s="7" t="s">
        <v>113</v>
      </c>
      <c r="Q12" t="s">
        <v>186</v>
      </c>
      <c r="R12" s="4">
        <v>45783</v>
      </c>
      <c r="S12" t="s">
        <v>187</v>
      </c>
    </row>
    <row r="13" spans="2:19" x14ac:dyDescent="0.3">
      <c r="B13" s="8" t="s">
        <v>17</v>
      </c>
      <c r="C13" t="s">
        <v>116</v>
      </c>
    </row>
    <row r="14" spans="2:19" x14ac:dyDescent="0.3">
      <c r="E14">
        <v>26</v>
      </c>
      <c r="F14" t="s">
        <v>13</v>
      </c>
      <c r="G14">
        <f>+E14*7</f>
        <v>182</v>
      </c>
      <c r="H14" t="s">
        <v>14</v>
      </c>
    </row>
    <row r="16" spans="2:19" x14ac:dyDescent="0.3">
      <c r="C16" s="7" t="s">
        <v>15</v>
      </c>
    </row>
    <row r="17" spans="2:14" x14ac:dyDescent="0.3">
      <c r="B17" s="9" t="s">
        <v>17</v>
      </c>
      <c r="C17" t="s">
        <v>117</v>
      </c>
    </row>
    <row r="18" spans="2:14" x14ac:dyDescent="0.3">
      <c r="E18">
        <v>52</v>
      </c>
      <c r="F18" t="s">
        <v>13</v>
      </c>
      <c r="G18">
        <f>+E18*7</f>
        <v>364</v>
      </c>
      <c r="H18" t="s">
        <v>14</v>
      </c>
    </row>
    <row r="20" spans="2:14" x14ac:dyDescent="0.3">
      <c r="B20" s="7" t="s">
        <v>108</v>
      </c>
    </row>
    <row r="21" spans="2:14" ht="28.8" x14ac:dyDescent="0.3">
      <c r="C21" s="7" t="s">
        <v>128</v>
      </c>
      <c r="D21" s="13" t="s">
        <v>26</v>
      </c>
      <c r="E21" s="13" t="s">
        <v>27</v>
      </c>
      <c r="F21" s="13" t="s">
        <v>33</v>
      </c>
      <c r="G21" s="13" t="s">
        <v>28</v>
      </c>
    </row>
    <row r="22" spans="2:14" x14ac:dyDescent="0.3">
      <c r="C22" t="s">
        <v>109</v>
      </c>
      <c r="D22">
        <v>6</v>
      </c>
      <c r="E22" s="10">
        <f>IF(Summary!$D$13&lt;$D$22,Summary!$D$13,D22)</f>
        <v>0</v>
      </c>
      <c r="F22" s="10">
        <v>1</v>
      </c>
      <c r="G22" s="14">
        <f>K22/52</f>
        <v>0</v>
      </c>
      <c r="H22" t="s">
        <v>20</v>
      </c>
      <c r="K22" s="10">
        <f>Summary!D7*0.9</f>
        <v>0</v>
      </c>
    </row>
    <row r="23" spans="2:14" x14ac:dyDescent="0.3">
      <c r="C23" t="s">
        <v>110</v>
      </c>
      <c r="D23">
        <v>33</v>
      </c>
      <c r="E23" s="10">
        <f>IF(Summary!$D$13&lt;($D$22+$D$23),Summary!$D$13-E22,D23)</f>
        <v>0</v>
      </c>
      <c r="F23" s="10">
        <f>+F22+E22</f>
        <v>1</v>
      </c>
      <c r="G23" s="14">
        <f>IF(Summary!$D$12&lt;assumptions!$L$24,$K$23,assumptions!$K$24)</f>
        <v>184.03</v>
      </c>
      <c r="H23" t="s">
        <v>18</v>
      </c>
      <c r="K23" s="16">
        <v>184.03</v>
      </c>
    </row>
    <row r="24" spans="2:14" ht="17.399999999999999" x14ac:dyDescent="0.3">
      <c r="C24" t="s">
        <v>19</v>
      </c>
      <c r="D24">
        <v>13</v>
      </c>
      <c r="E24" s="11">
        <f>IF(Summary!$D$13&lt;($D$22+$D$23+$D$24),Summary!$D$13-E23-E22,D24)</f>
        <v>0</v>
      </c>
      <c r="F24" s="11">
        <f>+F23+E23</f>
        <v>1</v>
      </c>
      <c r="G24" s="14">
        <v>0</v>
      </c>
      <c r="K24" s="16">
        <v>187.18</v>
      </c>
      <c r="L24" s="4">
        <v>45748</v>
      </c>
      <c r="N24" s="86" t="s">
        <v>183</v>
      </c>
    </row>
    <row r="25" spans="2:14" x14ac:dyDescent="0.3">
      <c r="D25" s="12">
        <f>SUM(D22:D24)</f>
        <v>52</v>
      </c>
      <c r="E25" s="12">
        <f>SUM(E22:E24)</f>
        <v>0</v>
      </c>
      <c r="F25" s="15"/>
      <c r="N25" s="87" t="s">
        <v>122</v>
      </c>
    </row>
    <row r="26" spans="2:14" x14ac:dyDescent="0.3">
      <c r="D26" s="15"/>
      <c r="E26" s="15"/>
      <c r="F26" s="15"/>
    </row>
    <row r="27" spans="2:14" ht="28.8" x14ac:dyDescent="0.3">
      <c r="C27" s="7" t="s">
        <v>91</v>
      </c>
      <c r="D27" s="13" t="s">
        <v>26</v>
      </c>
      <c r="E27" s="13" t="s">
        <v>27</v>
      </c>
      <c r="F27" s="13" t="s">
        <v>33</v>
      </c>
      <c r="G27" s="13" t="s">
        <v>28</v>
      </c>
    </row>
    <row r="28" spans="2:14" x14ac:dyDescent="0.3">
      <c r="C28" t="s">
        <v>110</v>
      </c>
      <c r="D28">
        <v>37</v>
      </c>
      <c r="E28" s="10">
        <f>IF(Summary!$D$13&lt;($D$22+$D$23),Summary!$D$13,D28)</f>
        <v>0</v>
      </c>
      <c r="F28" s="10">
        <v>1</v>
      </c>
      <c r="G28" s="14">
        <f>IF(Summary!$D$12&lt;assumptions!$L$24,$K$23,assumptions!$K$24)</f>
        <v>184.03</v>
      </c>
    </row>
    <row r="29" spans="2:14" x14ac:dyDescent="0.3">
      <c r="C29" t="s">
        <v>19</v>
      </c>
      <c r="D29">
        <v>13</v>
      </c>
      <c r="E29" s="11">
        <f>IF(Summary!$D$13&lt;($D$22+$D$23+$D$24),Summary!$D$13-E28,D29)</f>
        <v>0</v>
      </c>
      <c r="F29" s="11">
        <f>+F28+E28</f>
        <v>1</v>
      </c>
      <c r="G29" s="14">
        <v>0</v>
      </c>
    </row>
    <row r="30" spans="2:14" x14ac:dyDescent="0.3">
      <c r="D30" s="12">
        <f>SUM(D28:D29)</f>
        <v>50</v>
      </c>
      <c r="E30" s="12">
        <f>SUM(E28:E29)</f>
        <v>0</v>
      </c>
      <c r="F30" s="15"/>
      <c r="H30" t="s">
        <v>154</v>
      </c>
    </row>
    <row r="31" spans="2:14" x14ac:dyDescent="0.3">
      <c r="D31" s="15"/>
      <c r="E31" s="15"/>
      <c r="F31" s="15"/>
    </row>
    <row r="32" spans="2:14" ht="28.8" x14ac:dyDescent="0.3">
      <c r="C32" s="7" t="s">
        <v>111</v>
      </c>
      <c r="E32" s="13" t="s">
        <v>27</v>
      </c>
      <c r="F32" s="13" t="s">
        <v>33</v>
      </c>
      <c r="G32" s="13" t="s">
        <v>28</v>
      </c>
    </row>
    <row r="33" spans="2:13" ht="17.399999999999999" x14ac:dyDescent="0.3">
      <c r="C33" t="s">
        <v>25</v>
      </c>
      <c r="D33">
        <v>8</v>
      </c>
      <c r="E33" s="10">
        <f>IF(Summary!$D$13&lt;$D$33,Summary!$D$13,D33)</f>
        <v>0</v>
      </c>
      <c r="F33" s="10">
        <v>1</v>
      </c>
      <c r="G33" s="14">
        <f>Summary!D7/52</f>
        <v>0</v>
      </c>
      <c r="M33" s="85" t="s">
        <v>184</v>
      </c>
    </row>
    <row r="34" spans="2:13" x14ac:dyDescent="0.3">
      <c r="C34" t="s">
        <v>112</v>
      </c>
      <c r="D34">
        <v>18</v>
      </c>
      <c r="E34" s="10">
        <f>IF(Summary!$D$13&lt;($D$33+$D$34),Summary!$D$13-E33,D34)</f>
        <v>0</v>
      </c>
      <c r="F34" s="10">
        <f>+F33+E33</f>
        <v>1</v>
      </c>
      <c r="G34" s="14">
        <f>IF(Summary!$D$12&lt;assumptions!$L$24,$K$23,assumptions!$K$24)+G33*0.5</f>
        <v>184.03</v>
      </c>
    </row>
    <row r="35" spans="2:13" x14ac:dyDescent="0.3">
      <c r="C35" t="s">
        <v>110</v>
      </c>
      <c r="D35">
        <v>13</v>
      </c>
      <c r="E35" s="10">
        <f>IF(Summary!$D$13&lt;($D$33+$D$34+$D$35),Summary!$D$13-E34-E33,D35)</f>
        <v>0</v>
      </c>
      <c r="F35" s="10">
        <f t="shared" ref="F35:F36" si="0">+F34+E34</f>
        <v>1</v>
      </c>
      <c r="G35" s="14">
        <f>IF(Summary!$D$12&lt;assumptions!$L$24,$K$23,assumptions!$K$24)</f>
        <v>184.03</v>
      </c>
    </row>
    <row r="36" spans="2:13" x14ac:dyDescent="0.3">
      <c r="C36" t="s">
        <v>19</v>
      </c>
      <c r="D36">
        <v>13</v>
      </c>
      <c r="E36" s="10">
        <f>IF(Summary!$D$13&lt;($D$33+$D$34+$D$35+D36),Summary!$D$13-E35-E34-E33,D36)</f>
        <v>0</v>
      </c>
      <c r="F36" s="10">
        <f t="shared" si="0"/>
        <v>1</v>
      </c>
      <c r="G36" s="14">
        <v>0</v>
      </c>
    </row>
    <row r="37" spans="2:13" x14ac:dyDescent="0.3">
      <c r="D37" s="12">
        <f>SUM(D33:D36)</f>
        <v>52</v>
      </c>
      <c r="E37" s="12">
        <f>SUM(E33:E36)</f>
        <v>0</v>
      </c>
    </row>
    <row r="38" spans="2:13" x14ac:dyDescent="0.3">
      <c r="D38" s="15"/>
      <c r="E38" s="15"/>
    </row>
    <row r="39" spans="2:13" x14ac:dyDescent="0.3">
      <c r="C39" t="s">
        <v>41</v>
      </c>
    </row>
    <row r="41" spans="2:13" x14ac:dyDescent="0.3">
      <c r="B41" s="7" t="s">
        <v>121</v>
      </c>
    </row>
    <row r="42" spans="2:13" ht="15" customHeight="1" x14ac:dyDescent="0.3">
      <c r="C42" s="123" t="s">
        <v>29</v>
      </c>
      <c r="D42" s="123"/>
      <c r="F42" s="2">
        <v>0.92</v>
      </c>
      <c r="H42" t="s">
        <v>123</v>
      </c>
      <c r="I42" t="s">
        <v>185</v>
      </c>
    </row>
    <row r="43" spans="2:13" x14ac:dyDescent="0.3">
      <c r="C43" s="123"/>
      <c r="D43" s="123"/>
    </row>
    <row r="46" spans="2:13" x14ac:dyDescent="0.3">
      <c r="B46" s="7" t="s">
        <v>2</v>
      </c>
      <c r="D46" t="s">
        <v>5</v>
      </c>
      <c r="E46" t="s">
        <v>6</v>
      </c>
      <c r="F46" t="s">
        <v>7</v>
      </c>
    </row>
    <row r="47" spans="2:13" x14ac:dyDescent="0.3">
      <c r="C47" s="67" t="s">
        <v>3</v>
      </c>
      <c r="D47" s="68">
        <v>0.19500000000000001</v>
      </c>
      <c r="E47" s="69">
        <v>43678</v>
      </c>
      <c r="F47" s="69">
        <v>43738</v>
      </c>
    </row>
    <row r="48" spans="2:13" x14ac:dyDescent="0.3">
      <c r="C48" s="67" t="str">
        <f>+C47</f>
        <v>USS Rate</v>
      </c>
      <c r="D48" s="68">
        <v>0.21099999999999999</v>
      </c>
      <c r="E48" s="69">
        <v>43739</v>
      </c>
      <c r="F48" s="69">
        <v>44469</v>
      </c>
    </row>
    <row r="49" spans="3:9" x14ac:dyDescent="0.3">
      <c r="C49" s="67" t="str">
        <f>+C48</f>
        <v>USS Rate</v>
      </c>
      <c r="D49" s="68">
        <v>0.214</v>
      </c>
      <c r="E49" s="69">
        <v>44470</v>
      </c>
      <c r="F49" s="69">
        <v>45291</v>
      </c>
    </row>
    <row r="50" spans="3:9" x14ac:dyDescent="0.3">
      <c r="C50" s="110" t="s">
        <v>3</v>
      </c>
      <c r="D50" s="117">
        <v>0.14499999999999999</v>
      </c>
      <c r="E50" s="111">
        <f>+F49+1</f>
        <v>45292</v>
      </c>
      <c r="F50" s="4"/>
      <c r="I50" t="s">
        <v>1</v>
      </c>
    </row>
    <row r="51" spans="3:9" x14ac:dyDescent="0.3">
      <c r="C51" t="s">
        <v>4</v>
      </c>
      <c r="D51" s="3">
        <v>0.22600000000000001</v>
      </c>
      <c r="E51" s="4">
        <v>44652</v>
      </c>
      <c r="F51" s="4">
        <v>45016</v>
      </c>
      <c r="I51" t="s">
        <v>129</v>
      </c>
    </row>
    <row r="52" spans="3:9" x14ac:dyDescent="0.3">
      <c r="C52" t="str">
        <f>+C51</f>
        <v>LGPS Rate</v>
      </c>
      <c r="D52" s="3">
        <v>0.218</v>
      </c>
      <c r="E52" s="4">
        <v>45017</v>
      </c>
      <c r="F52" s="4"/>
      <c r="I52" t="s">
        <v>130</v>
      </c>
    </row>
    <row r="53" spans="3:9" x14ac:dyDescent="0.3">
      <c r="C53" t="s">
        <v>144</v>
      </c>
      <c r="D53" s="3">
        <v>0.1</v>
      </c>
      <c r="E53" s="4">
        <v>44348</v>
      </c>
      <c r="F53" s="4"/>
    </row>
    <row r="54" spans="3:9" x14ac:dyDescent="0.3">
      <c r="C54" t="s">
        <v>63</v>
      </c>
      <c r="D54" s="3">
        <v>0.155</v>
      </c>
      <c r="E54" s="4">
        <v>44652</v>
      </c>
      <c r="F54" s="4">
        <v>44866</v>
      </c>
    </row>
    <row r="55" spans="3:9" x14ac:dyDescent="0.3">
      <c r="C55" t="s">
        <v>63</v>
      </c>
      <c r="D55" s="3">
        <v>0.13800000000000001</v>
      </c>
      <c r="E55" s="4">
        <v>44866</v>
      </c>
      <c r="F55" s="4">
        <v>45747</v>
      </c>
    </row>
    <row r="56" spans="3:9" x14ac:dyDescent="0.3">
      <c r="C56" t="s">
        <v>63</v>
      </c>
      <c r="D56" s="3">
        <v>0.15</v>
      </c>
      <c r="E56" s="4">
        <v>45748</v>
      </c>
      <c r="F56" s="4"/>
    </row>
    <row r="57" spans="3:9" x14ac:dyDescent="0.3">
      <c r="C57" s="67"/>
      <c r="D57" s="68"/>
      <c r="E57" s="69"/>
      <c r="F57" s="69"/>
    </row>
    <row r="58" spans="3:9" x14ac:dyDescent="0.3">
      <c r="C58" s="67"/>
      <c r="D58" s="68"/>
      <c r="E58" s="69"/>
      <c r="F58" s="69"/>
    </row>
    <row r="59" spans="3:9" x14ac:dyDescent="0.3">
      <c r="C59" t="s">
        <v>64</v>
      </c>
      <c r="D59" s="16">
        <v>9100</v>
      </c>
      <c r="E59" s="4">
        <v>44652</v>
      </c>
      <c r="F59" s="4">
        <v>45747</v>
      </c>
    </row>
    <row r="60" spans="3:9" x14ac:dyDescent="0.3">
      <c r="C60" t="s">
        <v>64</v>
      </c>
      <c r="D60" s="16">
        <v>5000</v>
      </c>
      <c r="E60" s="4">
        <v>45748</v>
      </c>
      <c r="F60" s="4"/>
    </row>
    <row r="61" spans="3:9" x14ac:dyDescent="0.3">
      <c r="C61" t="s">
        <v>8</v>
      </c>
      <c r="D61" s="3">
        <v>5.0000000000000001E-3</v>
      </c>
    </row>
    <row r="62" spans="3:9" x14ac:dyDescent="0.3">
      <c r="D62" s="2"/>
    </row>
    <row r="63" spans="3:9" x14ac:dyDescent="0.3">
      <c r="C63" t="s">
        <v>9</v>
      </c>
      <c r="D63" s="2"/>
    </row>
    <row r="64" spans="3:9" x14ac:dyDescent="0.3">
      <c r="C64" t="s">
        <v>10</v>
      </c>
    </row>
    <row r="67" spans="2:6" x14ac:dyDescent="0.3">
      <c r="B67" s="7" t="s">
        <v>1</v>
      </c>
    </row>
    <row r="68" spans="2:6" x14ac:dyDescent="0.3">
      <c r="C68" t="s">
        <v>140</v>
      </c>
    </row>
    <row r="69" spans="2:6" x14ac:dyDescent="0.3">
      <c r="C69" t="s">
        <v>57</v>
      </c>
    </row>
    <row r="70" spans="2:6" x14ac:dyDescent="0.3">
      <c r="C70" s="81" t="s">
        <v>143</v>
      </c>
    </row>
    <row r="71" spans="2:6" x14ac:dyDescent="0.3">
      <c r="D71" t="s">
        <v>5</v>
      </c>
      <c r="E71" t="s">
        <v>6</v>
      </c>
      <c r="F71" t="s">
        <v>7</v>
      </c>
    </row>
    <row r="72" spans="2:6" x14ac:dyDescent="0.3">
      <c r="C72" s="67" t="s">
        <v>3</v>
      </c>
      <c r="D72" s="68">
        <v>8.7999999999999995E-2</v>
      </c>
      <c r="E72" s="69">
        <v>43678</v>
      </c>
      <c r="F72" s="69">
        <v>43738</v>
      </c>
    </row>
    <row r="73" spans="2:6" x14ac:dyDescent="0.3">
      <c r="C73" s="67" t="str">
        <f>+C72</f>
        <v>USS Rate</v>
      </c>
      <c r="D73" s="68">
        <v>9.6000000000000002E-2</v>
      </c>
      <c r="E73" s="69">
        <v>43739</v>
      </c>
      <c r="F73" s="69">
        <v>44469</v>
      </c>
    </row>
    <row r="74" spans="2:6" x14ac:dyDescent="0.3">
      <c r="C74" s="67" t="str">
        <f>+C73</f>
        <v>USS Rate</v>
      </c>
      <c r="D74" s="68">
        <v>9.8000000000000004E-2</v>
      </c>
      <c r="E74" s="69">
        <v>44470</v>
      </c>
      <c r="F74" s="69">
        <v>45291</v>
      </c>
    </row>
    <row r="75" spans="2:6" x14ac:dyDescent="0.3">
      <c r="C75" s="70" t="s">
        <v>3</v>
      </c>
      <c r="D75" s="118">
        <v>6.0999999999999999E-2</v>
      </c>
      <c r="E75" s="71">
        <f>+F74+1</f>
        <v>45292</v>
      </c>
      <c r="F75" s="71"/>
    </row>
    <row r="76" spans="2:6" x14ac:dyDescent="0.3">
      <c r="C76" t="s">
        <v>174</v>
      </c>
      <c r="D76" s="6">
        <v>0</v>
      </c>
      <c r="E76" s="60">
        <v>5.5E-2</v>
      </c>
      <c r="F76" s="17" t="s">
        <v>152</v>
      </c>
    </row>
    <row r="77" spans="2:6" x14ac:dyDescent="0.3">
      <c r="C77" t="s">
        <v>175</v>
      </c>
      <c r="D77" s="6">
        <v>16500</v>
      </c>
      <c r="E77" s="60">
        <v>5.8000000000000003E-2</v>
      </c>
    </row>
    <row r="78" spans="2:6" x14ac:dyDescent="0.3">
      <c r="C78" t="s">
        <v>176</v>
      </c>
      <c r="D78" s="6">
        <v>25900</v>
      </c>
      <c r="E78" s="60">
        <v>6.5000000000000002E-2</v>
      </c>
    </row>
    <row r="79" spans="2:6" x14ac:dyDescent="0.3">
      <c r="C79" t="s">
        <v>144</v>
      </c>
      <c r="E79" s="60">
        <v>0.06</v>
      </c>
    </row>
    <row r="82" spans="2:5" x14ac:dyDescent="0.3">
      <c r="B82" s="7" t="s">
        <v>153</v>
      </c>
      <c r="D82" s="4">
        <v>45869</v>
      </c>
      <c r="E82" t="s">
        <v>177</v>
      </c>
    </row>
    <row r="83" spans="2:5" x14ac:dyDescent="0.3">
      <c r="D83" s="4">
        <v>46234</v>
      </c>
      <c r="E83" t="s">
        <v>178</v>
      </c>
    </row>
    <row r="84" spans="2:5" x14ac:dyDescent="0.3">
      <c r="D84" s="4">
        <v>46599</v>
      </c>
      <c r="E84" t="s">
        <v>188</v>
      </c>
    </row>
    <row r="85" spans="2:5" x14ac:dyDescent="0.3">
      <c r="D85" s="4"/>
    </row>
    <row r="86" spans="2:5" x14ac:dyDescent="0.3">
      <c r="D86" s="4"/>
    </row>
  </sheetData>
  <mergeCells count="1">
    <mergeCell ref="C42:D43"/>
  </mergeCells>
  <hyperlinks>
    <hyperlink ref="N25" r:id="rId1" display="https://www.gov.uk/maternity-pay-leave/pay" xr:uid="{BA12EE8E-4B83-4CAE-9F85-B9112CF6D83D}"/>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70F89-2DD9-49DF-A651-30187E01321B}">
  <dimension ref="A1:B16"/>
  <sheetViews>
    <sheetView workbookViewId="0">
      <selection activeCell="B18" sqref="B18"/>
    </sheetView>
  </sheetViews>
  <sheetFormatPr defaultRowHeight="14.4" x14ac:dyDescent="0.3"/>
  <cols>
    <col min="1" max="1" width="26.44140625" bestFit="1" customWidth="1"/>
    <col min="2" max="2" width="76.6640625" bestFit="1" customWidth="1"/>
  </cols>
  <sheetData>
    <row r="1" spans="1:2" x14ac:dyDescent="0.3">
      <c r="A1" s="7" t="s">
        <v>165</v>
      </c>
      <c r="B1" s="7" t="s">
        <v>166</v>
      </c>
    </row>
    <row r="2" spans="1:2" x14ac:dyDescent="0.3">
      <c r="A2" s="7"/>
      <c r="B2" s="113"/>
    </row>
    <row r="3" spans="1:2" x14ac:dyDescent="0.3">
      <c r="A3" s="110" t="s">
        <v>170</v>
      </c>
      <c r="B3" s="116" t="s">
        <v>169</v>
      </c>
    </row>
    <row r="4" spans="1:2" x14ac:dyDescent="0.3">
      <c r="A4" s="110"/>
      <c r="B4" s="116"/>
    </row>
    <row r="5" spans="1:2" x14ac:dyDescent="0.3">
      <c r="A5" s="7"/>
      <c r="B5" s="113"/>
    </row>
    <row r="6" spans="1:2" x14ac:dyDescent="0.3">
      <c r="A6" t="s">
        <v>163</v>
      </c>
      <c r="B6" s="114" t="s">
        <v>164</v>
      </c>
    </row>
    <row r="7" spans="1:2" x14ac:dyDescent="0.3">
      <c r="B7" s="114"/>
    </row>
    <row r="8" spans="1:2" x14ac:dyDescent="0.3">
      <c r="B8" s="114"/>
    </row>
    <row r="9" spans="1:2" x14ac:dyDescent="0.3">
      <c r="A9" t="s">
        <v>168</v>
      </c>
      <c r="B9" s="114" t="s">
        <v>167</v>
      </c>
    </row>
    <row r="10" spans="1:2" x14ac:dyDescent="0.3">
      <c r="B10" s="115"/>
    </row>
    <row r="11" spans="1:2" x14ac:dyDescent="0.3">
      <c r="B11" s="115"/>
    </row>
    <row r="12" spans="1:2" x14ac:dyDescent="0.3">
      <c r="A12" t="s">
        <v>159</v>
      </c>
      <c r="B12" s="114" t="s">
        <v>160</v>
      </c>
    </row>
    <row r="13" spans="1:2" x14ac:dyDescent="0.3">
      <c r="B13" s="115"/>
    </row>
    <row r="14" spans="1:2" x14ac:dyDescent="0.3">
      <c r="B14" s="115"/>
    </row>
    <row r="15" spans="1:2" x14ac:dyDescent="0.3">
      <c r="B15" s="115"/>
    </row>
    <row r="16" spans="1:2" x14ac:dyDescent="0.3">
      <c r="A16" t="s">
        <v>162</v>
      </c>
      <c r="B16" s="114" t="s">
        <v>161</v>
      </c>
    </row>
  </sheetData>
  <hyperlinks>
    <hyperlink ref="B12" r:id="rId1" display="https://www.avonpensionfund.org.uk/how-much-do-i-pay" xr:uid="{C32791A6-F438-43C0-98D7-CF55D530D41A}"/>
    <hyperlink ref="B16" r:id="rId2" location="class-1-national-insurance-thresholds" display="https://www.gov.uk/guidance/rates-and-thresholds-for-employers-2023-to-2024 - class-1-national-insurance-thresholds" xr:uid="{8961FC96-7241-499C-BC9C-6921586F906D}"/>
    <hyperlink ref="B6" r:id="rId3" display="https://www.gov.uk/maternity-pay-leave/pay" xr:uid="{0EE32B56-EBDF-4B33-AA5F-3ABBF5C792E6}"/>
    <hyperlink ref="B9" r:id="rId4" display="https://www.gov.uk/recover-statutory-payments" xr:uid="{99D7147D-2925-4744-A7FC-B4D61658409E}"/>
    <hyperlink ref="B3" r:id="rId5" display="https://www.bath.ac.uk/corporate-information/maternity-policy/" xr:uid="{A527B26B-B168-4B8D-BBA7-E39F0B97D957}"/>
  </hyperlinks>
  <pageMargins left="0.7" right="0.7" top="0.75" bottom="0.75" header="0.3" footer="0.3"/>
  <pageSetup paperSize="9" orientation="portrait" verticalDpi="0"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6"/>
  <sheetViews>
    <sheetView zoomScale="85" zoomScaleNormal="85" workbookViewId="0">
      <pane xSplit="2" ySplit="2" topLeftCell="C3" activePane="bottomRight" state="frozen"/>
      <selection pane="topRight" activeCell="C1" sqref="C1"/>
      <selection pane="bottomLeft" activeCell="A2" sqref="A2"/>
      <selection pane="bottomRight" activeCell="B17" sqref="B17"/>
    </sheetView>
  </sheetViews>
  <sheetFormatPr defaultRowHeight="14.4" outlineLevelCol="1" x14ac:dyDescent="0.3"/>
  <cols>
    <col min="1" max="1" width="9.109375" style="1"/>
    <col min="2" max="2" width="39.6640625" style="1" customWidth="1"/>
    <col min="3" max="3" width="11.33203125" style="105" customWidth="1" outlineLevel="1"/>
    <col min="4" max="4" width="11.33203125" style="1" customWidth="1" outlineLevel="1"/>
    <col min="5" max="5" width="11.33203125" style="1" customWidth="1"/>
    <col min="6" max="6" width="4.109375" style="1" customWidth="1"/>
    <col min="7" max="14" width="10.88671875" style="1" customWidth="1" outlineLevel="1"/>
    <col min="15" max="17" width="10.88671875" style="63" customWidth="1" outlineLevel="1"/>
    <col min="18" max="18" width="13.44140625" style="1" customWidth="1" outlineLevel="1"/>
    <col min="19" max="19" width="8.44140625" style="1" customWidth="1"/>
    <col min="20" max="20" width="12.33203125" customWidth="1"/>
    <col min="21" max="22" width="10.109375" customWidth="1"/>
    <col min="23" max="25" width="10.109375" customWidth="1" outlineLevel="1"/>
    <col min="26" max="26" width="10.109375" customWidth="1"/>
    <col min="27" max="28" width="10.88671875" customWidth="1"/>
    <col min="29" max="29" width="9.88671875" bestFit="1" customWidth="1"/>
    <col min="30" max="30" width="5.44140625" customWidth="1"/>
    <col min="31" max="32" width="9.109375" hidden="1" customWidth="1"/>
    <col min="34" max="34" width="13" style="63" customWidth="1"/>
    <col min="35" max="35" width="13.109375" customWidth="1"/>
  </cols>
  <sheetData>
    <row r="1" spans="1:35" x14ac:dyDescent="0.3">
      <c r="G1" s="24" t="s">
        <v>48</v>
      </c>
      <c r="H1" s="25"/>
      <c r="I1" s="25"/>
      <c r="J1" s="25"/>
      <c r="T1" s="7" t="s">
        <v>139</v>
      </c>
    </row>
    <row r="2" spans="1:35" s="18" customFormat="1" ht="63" customHeight="1" x14ac:dyDescent="0.3">
      <c r="A2" s="18" t="s">
        <v>30</v>
      </c>
      <c r="B2" s="18" t="s">
        <v>31</v>
      </c>
      <c r="C2" s="106"/>
      <c r="D2" s="18" t="s">
        <v>46</v>
      </c>
      <c r="E2" s="19" t="s">
        <v>45</v>
      </c>
      <c r="G2" s="18" t="s">
        <v>49</v>
      </c>
      <c r="H2" s="19" t="s">
        <v>34</v>
      </c>
      <c r="I2" s="19" t="s">
        <v>42</v>
      </c>
      <c r="J2" s="19" t="s">
        <v>36</v>
      </c>
      <c r="K2" s="19" t="s">
        <v>37</v>
      </c>
      <c r="L2" s="19" t="s">
        <v>145</v>
      </c>
      <c r="M2" s="19" t="s">
        <v>35</v>
      </c>
      <c r="N2" s="19" t="s">
        <v>50</v>
      </c>
      <c r="O2" s="61" t="s">
        <v>59</v>
      </c>
      <c r="P2" s="61" t="s">
        <v>60</v>
      </c>
      <c r="Q2" s="61" t="s">
        <v>147</v>
      </c>
      <c r="R2" s="61" t="s">
        <v>58</v>
      </c>
      <c r="S2" s="19" t="s">
        <v>55</v>
      </c>
      <c r="T2" s="19" t="s">
        <v>32</v>
      </c>
      <c r="U2" s="19" t="s">
        <v>34</v>
      </c>
      <c r="V2" s="19" t="s">
        <v>42</v>
      </c>
      <c r="W2" s="19" t="s">
        <v>36</v>
      </c>
      <c r="X2" s="19" t="s">
        <v>37</v>
      </c>
      <c r="Y2" s="19" t="s">
        <v>145</v>
      </c>
      <c r="Z2" s="61" t="s">
        <v>61</v>
      </c>
      <c r="AA2" s="19" t="s">
        <v>35</v>
      </c>
      <c r="AB2" s="19" t="s">
        <v>155</v>
      </c>
      <c r="AC2" s="19" t="s">
        <v>66</v>
      </c>
      <c r="AH2" s="61" t="s">
        <v>141</v>
      </c>
      <c r="AI2" s="61" t="s">
        <v>142</v>
      </c>
    </row>
    <row r="3" spans="1:35" s="18" customFormat="1" ht="15.6" x14ac:dyDescent="0.3">
      <c r="A3" s="1">
        <v>-3</v>
      </c>
      <c r="B3" s="17">
        <f>+B4-7</f>
        <v>-28</v>
      </c>
      <c r="C3" s="107" t="e">
        <f t="shared" ref="C3:C62" si="0">YEAR(B3)</f>
        <v>#NUM!</v>
      </c>
      <c r="D3" s="17" t="e">
        <f>DATEVALUE("31 July"&amp;C3)</f>
        <v>#NUM!</v>
      </c>
      <c r="E3" s="17" t="str">
        <f>IF(B3&lt;assumptions!$D$82,assumptions!$E$82,IF('Phased costs'!B3&lt;assumptions!$D$83,assumptions!$E$83,IF('Phased costs'!B3&lt;assumptions!$D$84,assumptions!$E$84,IF(B3&lt;assumptions!$D$85,assumptions!$E$85))))</f>
        <v>2024/25</v>
      </c>
      <c r="G3" s="5"/>
      <c r="H3" s="5"/>
      <c r="I3" s="5"/>
      <c r="J3" s="3"/>
      <c r="K3" s="3"/>
      <c r="L3" s="3"/>
      <c r="M3" s="5"/>
      <c r="N3" s="20"/>
      <c r="O3" s="62"/>
      <c r="P3" s="62"/>
      <c r="Q3" s="62"/>
      <c r="R3" s="62"/>
      <c r="S3" s="21"/>
      <c r="T3" s="19"/>
      <c r="U3" s="19"/>
      <c r="V3" s="19"/>
      <c r="W3" s="19"/>
      <c r="X3" s="19"/>
      <c r="Y3" s="19"/>
      <c r="Z3" s="19"/>
      <c r="AA3" s="19"/>
      <c r="AB3" s="19"/>
      <c r="AC3" s="19"/>
      <c r="AE3" s="5" t="e">
        <f>B3&gt;=Summary!#REF!</f>
        <v>#REF!</v>
      </c>
      <c r="AF3" s="5" t="e">
        <f>B3&lt;(Summary!#REF!+Summary!#REF!*7)</f>
        <v>#REF!</v>
      </c>
      <c r="AH3" s="62"/>
      <c r="AI3" s="65"/>
    </row>
    <row r="4" spans="1:35" s="18" customFormat="1" ht="15.6" x14ac:dyDescent="0.3">
      <c r="A4" s="1">
        <v>-2</v>
      </c>
      <c r="B4" s="17">
        <f t="shared" ref="B4:B5" si="1">+B5-7</f>
        <v>-21</v>
      </c>
      <c r="C4" s="107" t="e">
        <f t="shared" si="0"/>
        <v>#NUM!</v>
      </c>
      <c r="D4" s="17" t="e">
        <f t="shared" ref="D4:D62" si="2">DATEVALUE("31 July"&amp;C4)</f>
        <v>#NUM!</v>
      </c>
      <c r="E4" s="17" t="str">
        <f>IF(B4&lt;assumptions!$D$82,assumptions!$E$82,IF('Phased costs'!B4&lt;assumptions!$D$83,assumptions!$E$83,IF('Phased costs'!B4&lt;assumptions!$D$84,assumptions!$E$84,IF(B4&lt;assumptions!$D$85,assumptions!$E$85))))</f>
        <v>2024/25</v>
      </c>
      <c r="F4" s="17"/>
      <c r="G4" s="5"/>
      <c r="H4" s="5"/>
      <c r="I4" s="5"/>
      <c r="J4" s="3"/>
      <c r="K4" s="3"/>
      <c r="L4" s="3"/>
      <c r="M4" s="5"/>
      <c r="N4" s="20"/>
      <c r="O4" s="62"/>
      <c r="P4" s="62"/>
      <c r="Q4" s="62"/>
      <c r="R4" s="62"/>
      <c r="S4" s="17"/>
      <c r="T4" s="19"/>
      <c r="U4" s="19"/>
      <c r="V4" s="19"/>
      <c r="W4" s="19"/>
      <c r="X4" s="19"/>
      <c r="Y4" s="19"/>
      <c r="Z4" s="19"/>
      <c r="AA4" s="19"/>
      <c r="AB4" s="19"/>
      <c r="AC4" s="19"/>
      <c r="AE4" s="5" t="e">
        <f>B4&gt;=Summary!#REF!</f>
        <v>#REF!</v>
      </c>
      <c r="AF4" s="5" t="e">
        <f>B4&lt;(Summary!#REF!+Summary!#REF!*7)</f>
        <v>#REF!</v>
      </c>
      <c r="AH4" s="62"/>
      <c r="AI4" s="65"/>
    </row>
    <row r="5" spans="1:35" s="18" customFormat="1" ht="15.6" x14ac:dyDescent="0.3">
      <c r="A5" s="1">
        <v>-1</v>
      </c>
      <c r="B5" s="17">
        <f t="shared" si="1"/>
        <v>-14</v>
      </c>
      <c r="C5" s="107" t="e">
        <f t="shared" si="0"/>
        <v>#NUM!</v>
      </c>
      <c r="D5" s="17" t="e">
        <f t="shared" si="2"/>
        <v>#NUM!</v>
      </c>
      <c r="E5" s="17" t="str">
        <f>IF(B5&lt;assumptions!$D$82,assumptions!$E$82,IF('Phased costs'!B5&lt;assumptions!$D$83,assumptions!$E$83,IF('Phased costs'!B5&lt;assumptions!$D$84,assumptions!$E$84,IF(B5&lt;assumptions!$D$85,assumptions!$E$85))))</f>
        <v>2024/25</v>
      </c>
      <c r="F5" s="17"/>
      <c r="G5" s="5"/>
      <c r="H5" s="5"/>
      <c r="I5" s="5"/>
      <c r="J5" s="3"/>
      <c r="K5" s="3"/>
      <c r="L5" s="3"/>
      <c r="M5" s="5"/>
      <c r="N5" s="20"/>
      <c r="O5" s="62"/>
      <c r="P5" s="62"/>
      <c r="Q5" s="62"/>
      <c r="R5" s="62"/>
      <c r="S5" s="17"/>
      <c r="T5" s="19"/>
      <c r="U5" s="19"/>
      <c r="V5" s="19"/>
      <c r="W5" s="19"/>
      <c r="X5" s="19"/>
      <c r="Y5" s="19"/>
      <c r="Z5" s="19"/>
      <c r="AA5" s="19"/>
      <c r="AB5" s="19"/>
      <c r="AC5" s="19"/>
      <c r="AE5" s="5" t="e">
        <f>B5&gt;=Summary!#REF!</f>
        <v>#REF!</v>
      </c>
      <c r="AF5" s="5" t="e">
        <f>B5&lt;(Summary!#REF!+Summary!#REF!*7)</f>
        <v>#REF!</v>
      </c>
      <c r="AH5" s="62"/>
      <c r="AI5" s="65"/>
    </row>
    <row r="6" spans="1:35" s="18" customFormat="1" ht="15.6" x14ac:dyDescent="0.3">
      <c r="A6" s="1">
        <v>0</v>
      </c>
      <c r="B6" s="17">
        <f>+B7-7</f>
        <v>-7</v>
      </c>
      <c r="C6" s="107" t="e">
        <f>YEAR(B6)</f>
        <v>#NUM!</v>
      </c>
      <c r="D6" s="17" t="e">
        <f t="shared" si="2"/>
        <v>#NUM!</v>
      </c>
      <c r="E6" s="17" t="str">
        <f>IF(B6&lt;assumptions!$D$82,assumptions!$E$82,IF('Phased costs'!B6&lt;assumptions!$D$83,assumptions!$E$83,IF('Phased costs'!B6&lt;assumptions!$D$84,assumptions!$E$84,IF(B6&lt;assumptions!$D$85,assumptions!$E$85))))</f>
        <v>2024/25</v>
      </c>
      <c r="F6" s="17"/>
      <c r="G6" s="5"/>
      <c r="H6" s="5"/>
      <c r="I6" s="5"/>
      <c r="J6" s="3"/>
      <c r="K6" s="3"/>
      <c r="L6" s="3"/>
      <c r="M6" s="5"/>
      <c r="N6" s="20"/>
      <c r="O6" s="62"/>
      <c r="P6" s="62"/>
      <c r="Q6" s="62"/>
      <c r="R6" s="62"/>
      <c r="S6" s="17"/>
      <c r="T6" s="19"/>
      <c r="U6" s="19"/>
      <c r="V6" s="19"/>
      <c r="W6" s="19"/>
      <c r="X6" s="19"/>
      <c r="Y6" s="19"/>
      <c r="Z6" s="19"/>
      <c r="AA6" s="19"/>
      <c r="AB6" s="19"/>
      <c r="AC6" s="19"/>
      <c r="AE6" s="5" t="e">
        <f>B6&gt;=Summary!#REF!</f>
        <v>#REF!</v>
      </c>
      <c r="AF6" s="5" t="e">
        <f>B6&lt;(Summary!#REF!+Summary!#REF!*7)</f>
        <v>#REF!</v>
      </c>
      <c r="AH6" s="62"/>
      <c r="AI6" s="65"/>
    </row>
    <row r="7" spans="1:35" x14ac:dyDescent="0.3">
      <c r="A7" s="57">
        <v>1</v>
      </c>
      <c r="B7" s="58">
        <f>Summary!D12</f>
        <v>0</v>
      </c>
      <c r="C7" s="107">
        <f t="shared" si="0"/>
        <v>1900</v>
      </c>
      <c r="D7" s="17">
        <f t="shared" si="2"/>
        <v>213</v>
      </c>
      <c r="E7" s="17" t="str">
        <f>IF(B7&lt;assumptions!$D$82,assumptions!$E$82,IF('Phased costs'!B7&lt;assumptions!$D$83,assumptions!$E$83,IF('Phased costs'!B7&lt;assumptions!$D$84,assumptions!$E$84,IF(B7&lt;assumptions!$D$85,assumptions!$E$85))))</f>
        <v>2024/25</v>
      </c>
      <c r="F7" s="17"/>
      <c r="G7" s="5">
        <f>+Summary!$D$7/52</f>
        <v>0</v>
      </c>
      <c r="H7" s="5">
        <f>IF((G7-AH7/52)&gt;0,('Phased costs'!G7-AH7/52)*AI7,0)</f>
        <v>0</v>
      </c>
      <c r="I7" s="5">
        <f t="shared" ref="I7:I58" si="3">G7*0.005</f>
        <v>0</v>
      </c>
      <c r="J7" s="3">
        <f>IF(B7&lt;assumptions!$E$52,assumptions!$D$51,assumptions!$D$52)</f>
        <v>0.22600000000000001</v>
      </c>
      <c r="K7" s="3">
        <f>IF(B7&lt;assumptions!$E$50,assumptions!$D$48,assumptions!$D$50)</f>
        <v>0.21099999999999999</v>
      </c>
      <c r="L7" s="3">
        <f>IF(B7&lt;assumptions!$E$53,0,assumptions!$D$53)</f>
        <v>0</v>
      </c>
      <c r="M7" s="5">
        <f>IF(Summary!$D$15="LGPS",'Phased costs'!J7*'Phased costs'!G7,IF(Summary!$D$15="USS",'Phased costs'!K7*'Phased costs'!G7,L7*'Phased costs'!G7))</f>
        <v>0</v>
      </c>
      <c r="N7" s="20">
        <f t="shared" ref="N7:N58" si="4">+G7+H7+I7+M7</f>
        <v>0</v>
      </c>
      <c r="O7" s="65">
        <f>VLOOKUP(Summary!$D$7,assumptions!$D$76:$E$78,2,TRUE)</f>
        <v>5.5E-2</v>
      </c>
      <c r="P7" s="65">
        <f>IF(B7&lt;assumptions!$E$48,assumptions!$D$73,assumptions!$D$75)</f>
        <v>9.6000000000000002E-2</v>
      </c>
      <c r="Q7" s="65">
        <f>assumptions!$E$79</f>
        <v>0.06</v>
      </c>
      <c r="R7" s="66">
        <f>IF(Summary!$D$15="LGPS",'Phased costs'!O7,IF(Summary!$D$15="USS",'Phased costs'!P7,Q7))*G7</f>
        <v>0</v>
      </c>
      <c r="S7" s="17" t="str">
        <f>IF(A7&lt;=Summary!$D$13,"L","")</f>
        <v/>
      </c>
      <c r="T7" s="5" t="str">
        <f>IF(OR(Summary!$D$18="SMP",Summary!$D$18="SAP"),VLOOKUP(A7,assumptions!$F$22:$G$24,2,TRUE),IF(OR(Summary!$D$18="OMP/OShPP",Summary!$D$18="OAP"),VLOOKUP('Phased costs'!A7,assumptions!$F$33:$G$36,2,TRUE),IF(Summary!$D$18="ShPP",VLOOKUP(A7,assumptions!$F$28:$G$29,2,TRUE),"n/a")))</f>
        <v>n/a</v>
      </c>
      <c r="U7" s="5">
        <f>IF(T7="n/a",0,IF((T7-AH7/52)&gt;0,('Phased costs'!T7-AH7/52)*AI7,0))</f>
        <v>0</v>
      </c>
      <c r="V7" s="5">
        <f>IF(T7="n/a",0,T7*0.005)</f>
        <v>0</v>
      </c>
      <c r="W7" s="3">
        <f>IF(B7&lt;assumptions!$E$52,assumptions!$D$51,assumptions!$D$52)</f>
        <v>0.22600000000000001</v>
      </c>
      <c r="X7" s="3">
        <f>IF(B7&lt;assumptions!$E$50,assumptions!$D$48,assumptions!$D$50)</f>
        <v>0.21099999999999999</v>
      </c>
      <c r="Y7" s="3">
        <f>IF(B7&lt;assumptions!$E$53,0,assumptions!$D$53)</f>
        <v>0</v>
      </c>
      <c r="Z7" s="66">
        <f>IF(T7="n/a",0,IF(T7&gt;0,(R7-IF(Summary!$D$15="LGPS",'Phased costs'!O7,IF(Summary!$D$15="USS",'Phased costs'!P7,Q7))*T7),0))</f>
        <v>0</v>
      </c>
      <c r="AA7" s="5">
        <f>IF(T7="n/a",0,IF(T7&gt;0,M7,0))</f>
        <v>0</v>
      </c>
      <c r="AB7" s="20">
        <f>IF(T7="n/a",0,IF(Summary!$D$9="Shared Parental",VLOOKUP(A7,assumptions!$F$28:$G$29,2,TRUE)*-0.92,VLOOKUP(A7,assumptions!$F$22:$G$24,2,TRUE)*-0.92))</f>
        <v>0</v>
      </c>
      <c r="AC7" s="21">
        <f t="shared" ref="AC7:AC38" si="5">SUM(T7:V7,Z7:AB7)</f>
        <v>0</v>
      </c>
      <c r="AE7" s="5" t="e">
        <f>B7&gt;=Summary!#REF!</f>
        <v>#REF!</v>
      </c>
      <c r="AF7" s="5" t="e">
        <f>B7&lt;(Summary!#REF!+Summary!#REF!*7)</f>
        <v>#REF!</v>
      </c>
      <c r="AH7" s="104">
        <f>IF($B7&gt;assumptions!$F$59,assumptions!$D$60,assumptions!$D$59)</f>
        <v>9100</v>
      </c>
      <c r="AI7" s="65">
        <f>IF($B7&gt;assumptions!$F$59,assumptions!$D$56,assumptions!$D$55)</f>
        <v>0.13800000000000001</v>
      </c>
    </row>
    <row r="8" spans="1:35" x14ac:dyDescent="0.3">
      <c r="A8" s="1">
        <f>1+A7</f>
        <v>2</v>
      </c>
      <c r="B8" s="17">
        <f>+B7+7</f>
        <v>7</v>
      </c>
      <c r="C8" s="107">
        <f t="shared" si="0"/>
        <v>1900</v>
      </c>
      <c r="D8" s="17">
        <f t="shared" si="2"/>
        <v>213</v>
      </c>
      <c r="E8" s="17" t="str">
        <f>IF(B8&lt;assumptions!$D$82,assumptions!$E$82,IF('Phased costs'!B8&lt;assumptions!$D$83,assumptions!$E$83,IF('Phased costs'!B8&lt;assumptions!$D$84,assumptions!$E$84,IF(B8&lt;assumptions!$D$85,assumptions!$E$85))))</f>
        <v>2024/25</v>
      </c>
      <c r="F8" s="17"/>
      <c r="G8" s="5">
        <f>+Summary!$D$7/52</f>
        <v>0</v>
      </c>
      <c r="H8" s="5">
        <f>IF((G8-AH8/52)&gt;0,('Phased costs'!G8-AH8/52)*AI8,0)</f>
        <v>0</v>
      </c>
      <c r="I8" s="5">
        <f t="shared" si="3"/>
        <v>0</v>
      </c>
      <c r="J8" s="3">
        <f>IF(B8&lt;assumptions!$E$52,assumptions!$D$51,assumptions!$D$52)</f>
        <v>0.22600000000000001</v>
      </c>
      <c r="K8" s="3">
        <f>IF(B8&lt;assumptions!$E$50,assumptions!$D$48,assumptions!$D$50)</f>
        <v>0.21099999999999999</v>
      </c>
      <c r="L8" s="3">
        <f>IF(B8&lt;assumptions!$E$53,0,assumptions!$D$53)</f>
        <v>0</v>
      </c>
      <c r="M8" s="5">
        <f>IF(Summary!$D$15="LGPS",'Phased costs'!J8*'Phased costs'!G8,IF(Summary!$D$15="USS",'Phased costs'!K8*'Phased costs'!G8,L8*'Phased costs'!G8))</f>
        <v>0</v>
      </c>
      <c r="N8" s="20">
        <f t="shared" si="4"/>
        <v>0</v>
      </c>
      <c r="O8" s="65">
        <f>VLOOKUP(Summary!$D$7,assumptions!$D$76:$E$78,2,TRUE)</f>
        <v>5.5E-2</v>
      </c>
      <c r="P8" s="65">
        <f>IF(B8&lt;assumptions!$E$48,assumptions!$D$73,assumptions!$D$75)</f>
        <v>9.6000000000000002E-2</v>
      </c>
      <c r="Q8" s="65">
        <f>assumptions!$E$79</f>
        <v>0.06</v>
      </c>
      <c r="R8" s="66">
        <f>IF(Summary!$D$15="LGPS",'Phased costs'!O8,IF(Summary!$D$15="USS",'Phased costs'!P8,Q8))*G8</f>
        <v>0</v>
      </c>
      <c r="S8" s="17" t="str">
        <f>IF(A8&lt;=Summary!$D$13,"L","")</f>
        <v/>
      </c>
      <c r="T8" s="5" t="str">
        <f>IF(OR(Summary!$D$18="SMP",Summary!$D$18="SAP"),VLOOKUP(A8,assumptions!$F$22:$G$24,2,TRUE),IF(OR(Summary!$D$18="OMP/OShPP",Summary!$D$18="OAP"),VLOOKUP('Phased costs'!A8,assumptions!$F$33:$G$36,2,TRUE),IF(Summary!$D$18="ShPP",VLOOKUP(A8,assumptions!$F$28:$G$29,2,TRUE),"n/a")))</f>
        <v>n/a</v>
      </c>
      <c r="U8" s="5">
        <f>IF(T8="n/a",0,IF((T8-AH8/52)&gt;0,('Phased costs'!T8-AH8/52)*AI8,0))</f>
        <v>0</v>
      </c>
      <c r="V8" s="5">
        <f t="shared" ref="V8:V58" si="6">IF(T8="n/a",0,T8*0.005)</f>
        <v>0</v>
      </c>
      <c r="W8" s="3">
        <f>IF(B8&lt;assumptions!$E$52,assumptions!$D$51,assumptions!$D$52)</f>
        <v>0.22600000000000001</v>
      </c>
      <c r="X8" s="3">
        <f>IF(B8&lt;assumptions!$E$50,assumptions!$D$48,assumptions!$D$50)</f>
        <v>0.21099999999999999</v>
      </c>
      <c r="Y8" s="3">
        <f>IF(B8&lt;assumptions!$E$53,0,assumptions!$D$53)</f>
        <v>0</v>
      </c>
      <c r="Z8" s="66">
        <f>IF(T8="n/a",0,IF(T8&gt;0,(R8-IF(Summary!$D$15="LGPS",'Phased costs'!O8,IF(Summary!$D$15="USS",'Phased costs'!P8,Q8))*T8),0))</f>
        <v>0</v>
      </c>
      <c r="AA8" s="5">
        <f t="shared" ref="AA8:AA58" si="7">IF(T8="n/a",0,IF(T8&gt;0,M8,0))</f>
        <v>0</v>
      </c>
      <c r="AB8" s="20">
        <f>IF(T8="n/a",0,IF(Summary!$D$9="Shared Parental",VLOOKUP(A8,assumptions!$F$28:$G$29,2,TRUE)*-0.92,VLOOKUP(A8,assumptions!$F$22:$G$24,2,TRUE)*-0.92))</f>
        <v>0</v>
      </c>
      <c r="AC8" s="21">
        <f t="shared" si="5"/>
        <v>0</v>
      </c>
      <c r="AE8" s="5" t="e">
        <f>B8&gt;=Summary!#REF!</f>
        <v>#REF!</v>
      </c>
      <c r="AF8" s="5" t="e">
        <f>B8&lt;(Summary!#REF!+Summary!#REF!*7)</f>
        <v>#REF!</v>
      </c>
      <c r="AH8" s="104">
        <f>IF($B8&gt;assumptions!$F$59,assumptions!$D$60,assumptions!$D$59)</f>
        <v>9100</v>
      </c>
      <c r="AI8" s="65">
        <f>IF($B8&gt;assumptions!$F$59,assumptions!$D$56,assumptions!$D$55)</f>
        <v>0.13800000000000001</v>
      </c>
    </row>
    <row r="9" spans="1:35" x14ac:dyDescent="0.3">
      <c r="A9" s="1">
        <f t="shared" ref="A9:A62" si="8">1+A8</f>
        <v>3</v>
      </c>
      <c r="B9" s="17">
        <f t="shared" ref="B9:B62" si="9">+B8+7</f>
        <v>14</v>
      </c>
      <c r="C9" s="107">
        <f t="shared" si="0"/>
        <v>1900</v>
      </c>
      <c r="D9" s="17">
        <f t="shared" si="2"/>
        <v>213</v>
      </c>
      <c r="E9" s="17" t="str">
        <f>IF(B9&lt;assumptions!$D$82,assumptions!$E$82,IF('Phased costs'!B9&lt;assumptions!$D$83,assumptions!$E$83,IF('Phased costs'!B9&lt;assumptions!$D$84,assumptions!$E$84,IF(B9&lt;assumptions!$D$85,assumptions!$E$85))))</f>
        <v>2024/25</v>
      </c>
      <c r="F9" s="17"/>
      <c r="G9" s="5">
        <f>+Summary!$D$7/52</f>
        <v>0</v>
      </c>
      <c r="H9" s="5">
        <f>IF((G9-AH9/52)&gt;0,('Phased costs'!G9-AH9/52)*AI9,0)</f>
        <v>0</v>
      </c>
      <c r="I9" s="5">
        <f t="shared" si="3"/>
        <v>0</v>
      </c>
      <c r="J9" s="3">
        <f>IF(B9&lt;assumptions!$E$52,assumptions!$D$51,assumptions!$D$52)</f>
        <v>0.22600000000000001</v>
      </c>
      <c r="K9" s="3">
        <f>IF(B9&lt;assumptions!$E$50,assumptions!$D$48,assumptions!$D$50)</f>
        <v>0.21099999999999999</v>
      </c>
      <c r="L9" s="3">
        <f>IF(B9&lt;assumptions!$E$53,0,assumptions!$D$53)</f>
        <v>0</v>
      </c>
      <c r="M9" s="5">
        <f>IF(Summary!$D$15="LGPS",'Phased costs'!J9*'Phased costs'!G9,IF(Summary!$D$15="USS",'Phased costs'!K9*'Phased costs'!G9,L9*'Phased costs'!G9))</f>
        <v>0</v>
      </c>
      <c r="N9" s="20">
        <f t="shared" si="4"/>
        <v>0</v>
      </c>
      <c r="O9" s="65">
        <f>VLOOKUP(Summary!$D$7,assumptions!$D$76:$E$78,2,TRUE)</f>
        <v>5.5E-2</v>
      </c>
      <c r="P9" s="65">
        <f>IF(B9&lt;assumptions!$E$48,assumptions!$D$73,assumptions!$D$75)</f>
        <v>9.6000000000000002E-2</v>
      </c>
      <c r="Q9" s="65">
        <f>assumptions!$E$79</f>
        <v>0.06</v>
      </c>
      <c r="R9" s="66">
        <f>IF(Summary!$D$15="LGPS",'Phased costs'!O9,IF(Summary!$D$15="USS",'Phased costs'!P9,Q9))*G9</f>
        <v>0</v>
      </c>
      <c r="S9" s="17" t="str">
        <f>IF(A9&lt;=Summary!$D$13,"L","")</f>
        <v/>
      </c>
      <c r="T9" s="5" t="str">
        <f>IF(OR(Summary!$D$18="SMP",Summary!$D$18="SAP"),VLOOKUP(A9,assumptions!$F$22:$G$24,2,TRUE),IF(OR(Summary!$D$18="OMP/OShPP",Summary!$D$18="OAP"),VLOOKUP('Phased costs'!A9,assumptions!$F$33:$G$36,2,TRUE),IF(Summary!$D$18="ShPP",VLOOKUP(A9,assumptions!$F$28:$G$29,2,TRUE),"n/a")))</f>
        <v>n/a</v>
      </c>
      <c r="U9" s="5">
        <f>IF(T9="n/a",0,IF((T9-AH9/52)&gt;0,('Phased costs'!T9-AH9/52)*AI9,0))</f>
        <v>0</v>
      </c>
      <c r="V9" s="5">
        <f t="shared" si="6"/>
        <v>0</v>
      </c>
      <c r="W9" s="3">
        <f>IF(B9&lt;assumptions!$E$52,assumptions!$D$51,assumptions!$D$52)</f>
        <v>0.22600000000000001</v>
      </c>
      <c r="X9" s="3">
        <f>IF(B9&lt;assumptions!$E$50,assumptions!$D$48,assumptions!$D$50)</f>
        <v>0.21099999999999999</v>
      </c>
      <c r="Y9" s="3">
        <f>IF(B9&lt;assumptions!$E$53,0,assumptions!$D$53)</f>
        <v>0</v>
      </c>
      <c r="Z9" s="66">
        <f>IF(T9="n/a",0,IF(T9&gt;0,(R9-IF(Summary!$D$15="LGPS",'Phased costs'!O9,IF(Summary!$D$15="USS",'Phased costs'!P9,Q9))*T9),0))</f>
        <v>0</v>
      </c>
      <c r="AA9" s="5">
        <f t="shared" si="7"/>
        <v>0</v>
      </c>
      <c r="AB9" s="20">
        <f>IF(T9="n/a",0,IF(Summary!$D$9="Shared Parental",VLOOKUP(A9,assumptions!$F$28:$G$29,2,TRUE)*-0.92,VLOOKUP(A9,assumptions!$F$22:$G$24,2,TRUE)*-0.92))</f>
        <v>0</v>
      </c>
      <c r="AC9" s="21">
        <f t="shared" si="5"/>
        <v>0</v>
      </c>
      <c r="AE9" s="5" t="e">
        <f>B9&gt;=Summary!#REF!</f>
        <v>#REF!</v>
      </c>
      <c r="AF9" s="5" t="e">
        <f>B9&lt;(Summary!#REF!+Summary!#REF!*7)</f>
        <v>#REF!</v>
      </c>
      <c r="AH9" s="104">
        <f>IF($B9&gt;assumptions!$F$59,assumptions!$D$60,assumptions!$D$59)</f>
        <v>9100</v>
      </c>
      <c r="AI9" s="65">
        <f>IF($B9&gt;assumptions!$F$59,assumptions!$D$56,assumptions!$D$55)</f>
        <v>0.13800000000000001</v>
      </c>
    </row>
    <row r="10" spans="1:35" x14ac:dyDescent="0.3">
      <c r="A10" s="1">
        <f t="shared" si="8"/>
        <v>4</v>
      </c>
      <c r="B10" s="17">
        <f t="shared" si="9"/>
        <v>21</v>
      </c>
      <c r="C10" s="107">
        <f t="shared" si="0"/>
        <v>1900</v>
      </c>
      <c r="D10" s="17">
        <f t="shared" si="2"/>
        <v>213</v>
      </c>
      <c r="E10" s="17" t="str">
        <f>IF(B10&lt;assumptions!$D$82,assumptions!$E$82,IF('Phased costs'!B10&lt;assumptions!$D$83,assumptions!$E$83,IF('Phased costs'!B10&lt;assumptions!$D$84,assumptions!$E$84,IF(B10&lt;assumptions!$D$85,assumptions!$E$85))))</f>
        <v>2024/25</v>
      </c>
      <c r="F10" s="17"/>
      <c r="G10" s="5">
        <f>+Summary!$D$7/52</f>
        <v>0</v>
      </c>
      <c r="H10" s="5">
        <f>IF((G10-AH10/52)&gt;0,('Phased costs'!G10-AH10/52)*AI10,0)</f>
        <v>0</v>
      </c>
      <c r="I10" s="5">
        <f t="shared" si="3"/>
        <v>0</v>
      </c>
      <c r="J10" s="3">
        <f>IF(B10&lt;assumptions!$E$52,assumptions!$D$51,assumptions!$D$52)</f>
        <v>0.22600000000000001</v>
      </c>
      <c r="K10" s="3">
        <f>IF(B10&lt;assumptions!$E$50,assumptions!$D$48,assumptions!$D$50)</f>
        <v>0.21099999999999999</v>
      </c>
      <c r="L10" s="3">
        <f>IF(B10&lt;assumptions!$E$53,0,assumptions!$D$53)</f>
        <v>0</v>
      </c>
      <c r="M10" s="5">
        <f>IF(Summary!$D$15="LGPS",'Phased costs'!J10*'Phased costs'!G10,IF(Summary!$D$15="USS",'Phased costs'!K10*'Phased costs'!G10,L10*'Phased costs'!G10))</f>
        <v>0</v>
      </c>
      <c r="N10" s="20">
        <f t="shared" si="4"/>
        <v>0</v>
      </c>
      <c r="O10" s="65">
        <f>VLOOKUP(Summary!$D$7,assumptions!$D$76:$E$78,2,TRUE)</f>
        <v>5.5E-2</v>
      </c>
      <c r="P10" s="65">
        <f>IF(B10&lt;assumptions!$E$48,assumptions!$D$73,assumptions!$D$75)</f>
        <v>9.6000000000000002E-2</v>
      </c>
      <c r="Q10" s="65">
        <f>assumptions!$E$79</f>
        <v>0.06</v>
      </c>
      <c r="R10" s="66">
        <f>IF(Summary!$D$15="LGPS",'Phased costs'!O10,IF(Summary!$D$15="USS",'Phased costs'!P10,Q10))*G10</f>
        <v>0</v>
      </c>
      <c r="S10" s="17" t="str">
        <f>IF(A10&lt;=Summary!$D$13,"L","")</f>
        <v/>
      </c>
      <c r="T10" s="5" t="str">
        <f>IF(OR(Summary!$D$18="SMP",Summary!$D$18="SAP"),VLOOKUP(A10,assumptions!$F$22:$G$24,2,TRUE),IF(OR(Summary!$D$18="OMP/OShPP",Summary!$D$18="OAP"),VLOOKUP('Phased costs'!A10,assumptions!$F$33:$G$36,2,TRUE),IF(Summary!$D$18="ShPP",VLOOKUP(A10,assumptions!$F$28:$G$29,2,TRUE),"n/a")))</f>
        <v>n/a</v>
      </c>
      <c r="U10" s="5">
        <f>IF(T10="n/a",0,IF((T10-AH10/52)&gt;0,('Phased costs'!T10-AH10/52)*AI10,0))</f>
        <v>0</v>
      </c>
      <c r="V10" s="5">
        <f t="shared" si="6"/>
        <v>0</v>
      </c>
      <c r="W10" s="3">
        <f>IF(B10&lt;assumptions!$E$52,assumptions!$D$51,assumptions!$D$52)</f>
        <v>0.22600000000000001</v>
      </c>
      <c r="X10" s="3">
        <f>IF(B10&lt;assumptions!$E$50,assumptions!$D$48,assumptions!$D$50)</f>
        <v>0.21099999999999999</v>
      </c>
      <c r="Y10" s="3">
        <f>IF(B10&lt;assumptions!$E$53,0,assumptions!$D$53)</f>
        <v>0</v>
      </c>
      <c r="Z10" s="66">
        <f>IF(T10="n/a",0,IF(T10&gt;0,(R10-IF(Summary!$D$15="LGPS",'Phased costs'!O10,IF(Summary!$D$15="USS",'Phased costs'!P10,Q10))*T10),0))</f>
        <v>0</v>
      </c>
      <c r="AA10" s="5">
        <f t="shared" si="7"/>
        <v>0</v>
      </c>
      <c r="AB10" s="20">
        <f>IF(T10="n/a",0,IF(Summary!$D$9="Shared Parental",VLOOKUP(A10,assumptions!$F$28:$G$29,2,TRUE)*-0.92,VLOOKUP(A10,assumptions!$F$22:$G$24,2,TRUE)*-0.92))</f>
        <v>0</v>
      </c>
      <c r="AC10" s="21">
        <f t="shared" si="5"/>
        <v>0</v>
      </c>
      <c r="AE10" s="5" t="e">
        <f>B10&gt;=Summary!#REF!</f>
        <v>#REF!</v>
      </c>
      <c r="AF10" s="5" t="e">
        <f>B10&lt;(Summary!#REF!+Summary!#REF!*7)</f>
        <v>#REF!</v>
      </c>
      <c r="AH10" s="104">
        <f>IF($B10&gt;assumptions!$F$59,assumptions!$D$60,assumptions!$D$59)</f>
        <v>9100</v>
      </c>
      <c r="AI10" s="65">
        <f>IF($B10&gt;assumptions!$F$59,assumptions!$D$56,assumptions!$D$55)</f>
        <v>0.13800000000000001</v>
      </c>
    </row>
    <row r="11" spans="1:35" x14ac:dyDescent="0.3">
      <c r="A11" s="1">
        <f t="shared" si="8"/>
        <v>5</v>
      </c>
      <c r="B11" s="17">
        <f t="shared" si="9"/>
        <v>28</v>
      </c>
      <c r="C11" s="107">
        <f t="shared" si="0"/>
        <v>1900</v>
      </c>
      <c r="D11" s="17">
        <f t="shared" si="2"/>
        <v>213</v>
      </c>
      <c r="E11" s="17" t="str">
        <f>IF(B11&lt;assumptions!$D$82,assumptions!$E$82,IF('Phased costs'!B11&lt;assumptions!$D$83,assumptions!$E$83,IF('Phased costs'!B11&lt;assumptions!$D$84,assumptions!$E$84,IF(B11&lt;assumptions!$D$85,assumptions!$E$85))))</f>
        <v>2024/25</v>
      </c>
      <c r="F11" s="17"/>
      <c r="G11" s="5">
        <f>+Summary!$D$7/52</f>
        <v>0</v>
      </c>
      <c r="H11" s="5">
        <f>IF((G11-AH11/52)&gt;0,('Phased costs'!G11-AH11/52)*AI11,0)</f>
        <v>0</v>
      </c>
      <c r="I11" s="5">
        <f t="shared" si="3"/>
        <v>0</v>
      </c>
      <c r="J11" s="3">
        <f>IF(B11&lt;assumptions!$E$52,assumptions!$D$51,assumptions!$D$52)</f>
        <v>0.22600000000000001</v>
      </c>
      <c r="K11" s="3">
        <f>IF(B11&lt;assumptions!$E$50,assumptions!$D$48,assumptions!$D$50)</f>
        <v>0.21099999999999999</v>
      </c>
      <c r="L11" s="3">
        <f>IF(B11&lt;assumptions!$E$53,0,assumptions!$D$53)</f>
        <v>0</v>
      </c>
      <c r="M11" s="5">
        <f>IF(Summary!$D$15="LGPS",'Phased costs'!J11*'Phased costs'!G11,IF(Summary!$D$15="USS",'Phased costs'!K11*'Phased costs'!G11,L11*'Phased costs'!G11))</f>
        <v>0</v>
      </c>
      <c r="N11" s="20">
        <f t="shared" si="4"/>
        <v>0</v>
      </c>
      <c r="O11" s="65">
        <f>VLOOKUP(Summary!$D$7,assumptions!$D$76:$E$78,2,TRUE)</f>
        <v>5.5E-2</v>
      </c>
      <c r="P11" s="65">
        <f>IF(B11&lt;assumptions!$E$48,assumptions!$D$73,assumptions!$D$75)</f>
        <v>9.6000000000000002E-2</v>
      </c>
      <c r="Q11" s="65">
        <f>assumptions!$E$79</f>
        <v>0.06</v>
      </c>
      <c r="R11" s="66">
        <f>IF(Summary!$D$15="LGPS",'Phased costs'!O11,IF(Summary!$D$15="USS",'Phased costs'!P11,Q11))*G11</f>
        <v>0</v>
      </c>
      <c r="S11" s="17" t="str">
        <f>IF(A11&lt;=Summary!$D$13,"L","")</f>
        <v/>
      </c>
      <c r="T11" s="5" t="str">
        <f>IF(OR(Summary!$D$18="SMP",Summary!$D$18="SAP"),VLOOKUP(A11,assumptions!$F$22:$G$24,2,TRUE),IF(OR(Summary!$D$18="OMP/OShPP",Summary!$D$18="OAP"),VLOOKUP('Phased costs'!A11,assumptions!$F$33:$G$36,2,TRUE),IF(Summary!$D$18="ShPP",VLOOKUP(A11,assumptions!$F$28:$G$29,2,TRUE),"n/a")))</f>
        <v>n/a</v>
      </c>
      <c r="U11" s="5">
        <f>IF(T11="n/a",0,IF((T11-AH11/52)&gt;0,('Phased costs'!T11-AH11/52)*AI11,0))</f>
        <v>0</v>
      </c>
      <c r="V11" s="5">
        <f t="shared" si="6"/>
        <v>0</v>
      </c>
      <c r="W11" s="3">
        <f>IF(B11&lt;assumptions!$E$52,assumptions!$D$51,assumptions!$D$52)</f>
        <v>0.22600000000000001</v>
      </c>
      <c r="X11" s="3">
        <f>IF(B11&lt;assumptions!$E$50,assumptions!$D$48,assumptions!$D$50)</f>
        <v>0.21099999999999999</v>
      </c>
      <c r="Y11" s="3">
        <f>IF(B11&lt;assumptions!$E$53,0,assumptions!$D$53)</f>
        <v>0</v>
      </c>
      <c r="Z11" s="66">
        <f>IF(T11="n/a",0,IF(T11&gt;0,(R11-IF(Summary!$D$15="LGPS",'Phased costs'!O11,IF(Summary!$D$15="USS",'Phased costs'!P11,Q11))*T11),0))</f>
        <v>0</v>
      </c>
      <c r="AA11" s="5">
        <f t="shared" si="7"/>
        <v>0</v>
      </c>
      <c r="AB11" s="20">
        <f>IF(T11="n/a",0,IF(Summary!$D$9="Shared Parental",VLOOKUP(A11,assumptions!$F$28:$G$29,2,TRUE)*-0.92,VLOOKUP(A11,assumptions!$F$22:$G$24,2,TRUE)*-0.92))</f>
        <v>0</v>
      </c>
      <c r="AC11" s="21">
        <f t="shared" si="5"/>
        <v>0</v>
      </c>
      <c r="AE11" s="5" t="e">
        <f>B11&gt;=Summary!#REF!</f>
        <v>#REF!</v>
      </c>
      <c r="AF11" s="5" t="e">
        <f>B11&lt;(Summary!#REF!+Summary!#REF!*7)</f>
        <v>#REF!</v>
      </c>
      <c r="AH11" s="104">
        <f>IF($B11&gt;assumptions!$F$59,assumptions!$D$60,assumptions!$D$59)</f>
        <v>9100</v>
      </c>
      <c r="AI11" s="65">
        <f>IF($B11&gt;assumptions!$F$59,assumptions!$D$56,assumptions!$D$55)</f>
        <v>0.13800000000000001</v>
      </c>
    </row>
    <row r="12" spans="1:35" x14ac:dyDescent="0.3">
      <c r="A12" s="1">
        <f t="shared" si="8"/>
        <v>6</v>
      </c>
      <c r="B12" s="17">
        <f t="shared" si="9"/>
        <v>35</v>
      </c>
      <c r="C12" s="107">
        <f t="shared" si="0"/>
        <v>1900</v>
      </c>
      <c r="D12" s="17">
        <f>DATEVALUE("31 July"&amp;C12)</f>
        <v>213</v>
      </c>
      <c r="E12" s="17" t="str">
        <f>IF(B12&lt;assumptions!$D$82,assumptions!$E$82,IF('Phased costs'!B12&lt;assumptions!$D$83,assumptions!$E$83,IF('Phased costs'!B12&lt;assumptions!$D$84,assumptions!$E$84,IF(B12&lt;assumptions!$D$85,assumptions!$E$85))))</f>
        <v>2024/25</v>
      </c>
      <c r="F12" s="17"/>
      <c r="G12" s="5">
        <f>+Summary!$D$7/52</f>
        <v>0</v>
      </c>
      <c r="H12" s="5">
        <f>IF((G12-AH12/52)&gt;0,('Phased costs'!G12-AH12/52)*AI12,0)</f>
        <v>0</v>
      </c>
      <c r="I12" s="5">
        <f t="shared" si="3"/>
        <v>0</v>
      </c>
      <c r="J12" s="3">
        <f>IF(B12&lt;assumptions!$E$52,assumptions!$D$51,assumptions!$D$52)</f>
        <v>0.22600000000000001</v>
      </c>
      <c r="K12" s="3">
        <f>IF(B12&lt;assumptions!$E$50,assumptions!$D$48,assumptions!$D$50)</f>
        <v>0.21099999999999999</v>
      </c>
      <c r="L12" s="3">
        <f>IF(B12&lt;assumptions!$E$53,0,assumptions!$D$53)</f>
        <v>0</v>
      </c>
      <c r="M12" s="5">
        <f>IF(Summary!$D$15="LGPS",'Phased costs'!J12*'Phased costs'!G12,IF(Summary!$D$15="USS",'Phased costs'!K12*'Phased costs'!G12,L12*'Phased costs'!G12))</f>
        <v>0</v>
      </c>
      <c r="N12" s="20">
        <f t="shared" si="4"/>
        <v>0</v>
      </c>
      <c r="O12" s="65">
        <f>VLOOKUP(Summary!$D$7,assumptions!$D$76:$E$78,2,TRUE)</f>
        <v>5.5E-2</v>
      </c>
      <c r="P12" s="65">
        <f>IF(B12&lt;assumptions!$E$48,assumptions!$D$73,assumptions!$D$75)</f>
        <v>9.6000000000000002E-2</v>
      </c>
      <c r="Q12" s="65">
        <f>assumptions!$E$79</f>
        <v>0.06</v>
      </c>
      <c r="R12" s="66">
        <f>IF(Summary!$D$15="LGPS",'Phased costs'!O12,IF(Summary!$D$15="USS",'Phased costs'!P12,Q12))*G12</f>
        <v>0</v>
      </c>
      <c r="S12" s="17" t="str">
        <f>IF(A12&lt;=Summary!$D$13,"L","")</f>
        <v/>
      </c>
      <c r="T12" s="5" t="str">
        <f>IF(OR(Summary!$D$18="SMP",Summary!$D$18="SAP"),VLOOKUP(A12,assumptions!$F$22:$G$24,2,TRUE),IF(OR(Summary!$D$18="OMP/OShPP",Summary!$D$18="OAP"),VLOOKUP('Phased costs'!A12,assumptions!$F$33:$G$36,2,TRUE),IF(Summary!$D$18="ShPP",VLOOKUP(A12,assumptions!$F$28:$G$29,2,TRUE),"n/a")))</f>
        <v>n/a</v>
      </c>
      <c r="U12" s="5">
        <f>IF(T12="n/a",0,IF((T12-AH12/52)&gt;0,('Phased costs'!T12-AH12/52)*AI12,0))</f>
        <v>0</v>
      </c>
      <c r="V12" s="5">
        <f t="shared" si="6"/>
        <v>0</v>
      </c>
      <c r="W12" s="3">
        <f>IF(B12&lt;assumptions!$E$52,assumptions!$D$51,assumptions!$D$52)</f>
        <v>0.22600000000000001</v>
      </c>
      <c r="X12" s="3">
        <f>IF(B12&lt;assumptions!$E$50,assumptions!$D$48,assumptions!$D$50)</f>
        <v>0.21099999999999999</v>
      </c>
      <c r="Y12" s="3">
        <f>IF(B12&lt;assumptions!$E$53,0,assumptions!$D$53)</f>
        <v>0</v>
      </c>
      <c r="Z12" s="66">
        <f>IF(T12="n/a",0,IF(T12&gt;0,(R12-IF(Summary!$D$15="LGPS",'Phased costs'!O12,IF(Summary!$D$15="USS",'Phased costs'!P12,Q12))*T12),0))</f>
        <v>0</v>
      </c>
      <c r="AA12" s="5">
        <f t="shared" si="7"/>
        <v>0</v>
      </c>
      <c r="AB12" s="20">
        <f>IF(T12="n/a",0,IF(Summary!$D$9="Shared Parental",VLOOKUP(A12,assumptions!$F$28:$G$29,2,TRUE)*-0.92,VLOOKUP(A12,assumptions!$F$22:$G$24,2,TRUE)*-0.92))</f>
        <v>0</v>
      </c>
      <c r="AC12" s="21">
        <f t="shared" si="5"/>
        <v>0</v>
      </c>
      <c r="AE12" s="5" t="e">
        <f>B12&gt;=Summary!#REF!</f>
        <v>#REF!</v>
      </c>
      <c r="AF12" s="5" t="e">
        <f>B12&lt;(Summary!#REF!+Summary!#REF!*7)</f>
        <v>#REF!</v>
      </c>
      <c r="AH12" s="104">
        <f>IF($B12&gt;assumptions!$F$59,assumptions!$D$60,assumptions!$D$59)</f>
        <v>9100</v>
      </c>
      <c r="AI12" s="65">
        <f>IF($B12&gt;assumptions!$F$59,assumptions!$D$56,assumptions!$D$55)</f>
        <v>0.13800000000000001</v>
      </c>
    </row>
    <row r="13" spans="1:35" x14ac:dyDescent="0.3">
      <c r="A13" s="1">
        <f t="shared" si="8"/>
        <v>7</v>
      </c>
      <c r="B13" s="17">
        <f t="shared" si="9"/>
        <v>42</v>
      </c>
      <c r="C13" s="107">
        <f t="shared" si="0"/>
        <v>1900</v>
      </c>
      <c r="D13" s="17">
        <f t="shared" si="2"/>
        <v>213</v>
      </c>
      <c r="E13" s="17" t="str">
        <f>IF(B13&lt;assumptions!$D$82,assumptions!$E$82,IF('Phased costs'!B13&lt;assumptions!$D$83,assumptions!$E$83,IF('Phased costs'!B13&lt;assumptions!$D$84,assumptions!$E$84,IF(B13&lt;assumptions!$D$85,assumptions!$E$85))))</f>
        <v>2024/25</v>
      </c>
      <c r="F13" s="17"/>
      <c r="G13" s="5">
        <f>+Summary!$D$7/52</f>
        <v>0</v>
      </c>
      <c r="H13" s="5">
        <f>IF((G13-AH13/52)&gt;0,('Phased costs'!G13-AH13/52)*AI13,0)</f>
        <v>0</v>
      </c>
      <c r="I13" s="5">
        <f t="shared" si="3"/>
        <v>0</v>
      </c>
      <c r="J13" s="3">
        <f>IF(B13&lt;assumptions!$E$52,assumptions!$D$51,assumptions!$D$52)</f>
        <v>0.22600000000000001</v>
      </c>
      <c r="K13" s="3">
        <f>IF(B13&lt;assumptions!$E$50,assumptions!$D$48,assumptions!$D$50)</f>
        <v>0.21099999999999999</v>
      </c>
      <c r="L13" s="3">
        <f>IF(B13&lt;assumptions!$E$53,0,assumptions!$D$53)</f>
        <v>0</v>
      </c>
      <c r="M13" s="5">
        <f>IF(Summary!$D$15="LGPS",'Phased costs'!J13*'Phased costs'!G13,IF(Summary!$D$15="USS",'Phased costs'!K13*'Phased costs'!G13,L13*'Phased costs'!G13))</f>
        <v>0</v>
      </c>
      <c r="N13" s="20">
        <f t="shared" si="4"/>
        <v>0</v>
      </c>
      <c r="O13" s="65">
        <f>VLOOKUP(Summary!$D$7,assumptions!$D$76:$E$78,2,TRUE)</f>
        <v>5.5E-2</v>
      </c>
      <c r="P13" s="65">
        <f>IF(B13&lt;assumptions!$E$48,assumptions!$D$73,assumptions!$D$75)</f>
        <v>9.6000000000000002E-2</v>
      </c>
      <c r="Q13" s="65">
        <f>assumptions!$E$79</f>
        <v>0.06</v>
      </c>
      <c r="R13" s="66">
        <f>IF(Summary!$D$15="LGPS",'Phased costs'!O13,IF(Summary!$D$15="USS",'Phased costs'!P13,Q13))*G13</f>
        <v>0</v>
      </c>
      <c r="S13" s="17" t="str">
        <f>IF(A13&lt;=Summary!$D$13,"L","")</f>
        <v/>
      </c>
      <c r="T13" s="5" t="str">
        <f>IF(OR(Summary!$D$18="SMP",Summary!$D$18="SAP"),VLOOKUP(A13,assumptions!$F$22:$G$24,2,TRUE),IF(OR(Summary!$D$18="OMP/OShPP",Summary!$D$18="OAP"),VLOOKUP('Phased costs'!A13,assumptions!$F$33:$G$36,2,TRUE),IF(Summary!$D$18="ShPP",VLOOKUP(A13,assumptions!$F$28:$G$29,2,TRUE),"n/a")))</f>
        <v>n/a</v>
      </c>
      <c r="U13" s="5">
        <f>IF(T13="n/a",0,IF((T13-AH13/52)&gt;0,('Phased costs'!T13-AH13/52)*AI13,0))</f>
        <v>0</v>
      </c>
      <c r="V13" s="5">
        <f t="shared" si="6"/>
        <v>0</v>
      </c>
      <c r="W13" s="3">
        <f>IF(B13&lt;assumptions!$E$52,assumptions!$D$51,assumptions!$D$52)</f>
        <v>0.22600000000000001</v>
      </c>
      <c r="X13" s="3">
        <f>IF(B13&lt;assumptions!$E$50,assumptions!$D$48,assumptions!$D$50)</f>
        <v>0.21099999999999999</v>
      </c>
      <c r="Y13" s="3">
        <f>IF(B13&lt;assumptions!$E$53,0,assumptions!$D$53)</f>
        <v>0</v>
      </c>
      <c r="Z13" s="66">
        <f>IF(T13="n/a",0,IF(T13&gt;0,(R13-IF(Summary!$D$15="LGPS",'Phased costs'!O13,IF(Summary!$D$15="USS",'Phased costs'!P13,Q13))*T13),0))</f>
        <v>0</v>
      </c>
      <c r="AA13" s="5">
        <f t="shared" si="7"/>
        <v>0</v>
      </c>
      <c r="AB13" s="20">
        <f>IF(T13="n/a",0,IF(Summary!$D$9="Shared Parental",VLOOKUP(A13,assumptions!$F$28:$G$29,2,TRUE)*-0.92,VLOOKUP(A13,assumptions!$F$22:$G$24,2,TRUE)*-0.92))</f>
        <v>0</v>
      </c>
      <c r="AC13" s="21">
        <f t="shared" si="5"/>
        <v>0</v>
      </c>
      <c r="AE13" s="5" t="e">
        <f>B13&gt;=Summary!#REF!</f>
        <v>#REF!</v>
      </c>
      <c r="AF13" s="5" t="e">
        <f>B13&lt;(Summary!#REF!+Summary!#REF!*7)</f>
        <v>#REF!</v>
      </c>
      <c r="AH13" s="104">
        <f>IF($B13&gt;assumptions!$F$59,assumptions!$D$60,assumptions!$D$59)</f>
        <v>9100</v>
      </c>
      <c r="AI13" s="65">
        <f>IF($B13&gt;assumptions!$F$59,assumptions!$D$56,assumptions!$D$55)</f>
        <v>0.13800000000000001</v>
      </c>
    </row>
    <row r="14" spans="1:35" x14ac:dyDescent="0.3">
      <c r="A14" s="1">
        <f t="shared" si="8"/>
        <v>8</v>
      </c>
      <c r="B14" s="17">
        <f t="shared" si="9"/>
        <v>49</v>
      </c>
      <c r="C14" s="107">
        <f t="shared" si="0"/>
        <v>1900</v>
      </c>
      <c r="D14" s="17">
        <f t="shared" si="2"/>
        <v>213</v>
      </c>
      <c r="E14" s="17" t="str">
        <f>IF(B14&lt;assumptions!$D$82,assumptions!$E$82,IF('Phased costs'!B14&lt;assumptions!$D$83,assumptions!$E$83,IF('Phased costs'!B14&lt;assumptions!$D$84,assumptions!$E$84,IF(B14&lt;assumptions!$D$85,assumptions!$E$85))))</f>
        <v>2024/25</v>
      </c>
      <c r="F14" s="17"/>
      <c r="G14" s="5">
        <f>+Summary!$D$7/52</f>
        <v>0</v>
      </c>
      <c r="H14" s="5">
        <f>IF((G14-AH14/52)&gt;0,('Phased costs'!G14-AH14/52)*AI14,0)</f>
        <v>0</v>
      </c>
      <c r="I14" s="5">
        <f t="shared" si="3"/>
        <v>0</v>
      </c>
      <c r="J14" s="3">
        <f>IF(B14&lt;assumptions!$E$52,assumptions!$D$51,assumptions!$D$52)</f>
        <v>0.22600000000000001</v>
      </c>
      <c r="K14" s="3">
        <f>IF(B14&lt;assumptions!$E$50,assumptions!$D$48,assumptions!$D$50)</f>
        <v>0.21099999999999999</v>
      </c>
      <c r="L14" s="3">
        <f>IF(B14&lt;assumptions!$E$53,0,assumptions!$D$53)</f>
        <v>0</v>
      </c>
      <c r="M14" s="5">
        <f>IF(Summary!$D$15="LGPS",'Phased costs'!J14*'Phased costs'!G14,IF(Summary!$D$15="USS",'Phased costs'!K14*'Phased costs'!G14,L14*'Phased costs'!G14))</f>
        <v>0</v>
      </c>
      <c r="N14" s="20">
        <f t="shared" si="4"/>
        <v>0</v>
      </c>
      <c r="O14" s="65">
        <f>VLOOKUP(Summary!$D$7,assumptions!$D$76:$E$78,2,TRUE)</f>
        <v>5.5E-2</v>
      </c>
      <c r="P14" s="65">
        <f>IF(B14&lt;assumptions!$E$48,assumptions!$D$73,assumptions!$D$75)</f>
        <v>9.6000000000000002E-2</v>
      </c>
      <c r="Q14" s="65">
        <f>assumptions!$E$79</f>
        <v>0.06</v>
      </c>
      <c r="R14" s="66">
        <f>IF(Summary!$D$15="LGPS",'Phased costs'!O14,IF(Summary!$D$15="USS",'Phased costs'!P14,Q14))*G14</f>
        <v>0</v>
      </c>
      <c r="S14" s="17" t="str">
        <f>IF(A14&lt;=Summary!$D$13,"L","")</f>
        <v/>
      </c>
      <c r="T14" s="5" t="str">
        <f>IF(OR(Summary!$D$18="SMP",Summary!$D$18="SAP"),VLOOKUP(A14,assumptions!$F$22:$G$24,2,TRUE),IF(OR(Summary!$D$18="OMP/OShPP",Summary!$D$18="OAP"),VLOOKUP('Phased costs'!A14,assumptions!$F$33:$G$36,2,TRUE),IF(Summary!$D$18="ShPP",VLOOKUP(A14,assumptions!$F$28:$G$29,2,TRUE),"n/a")))</f>
        <v>n/a</v>
      </c>
      <c r="U14" s="5">
        <f>IF(T14="n/a",0,IF((T14-AH14/52)&gt;0,('Phased costs'!T14-AH14/52)*AI14,0))</f>
        <v>0</v>
      </c>
      <c r="V14" s="5">
        <f t="shared" si="6"/>
        <v>0</v>
      </c>
      <c r="W14" s="3">
        <f>IF(B14&lt;assumptions!$E$52,assumptions!$D$51,assumptions!$D$52)</f>
        <v>0.22600000000000001</v>
      </c>
      <c r="X14" s="3">
        <f>IF(B14&lt;assumptions!$E$50,assumptions!$D$48,assumptions!$D$50)</f>
        <v>0.21099999999999999</v>
      </c>
      <c r="Y14" s="3">
        <f>IF(B14&lt;assumptions!$E$53,0,assumptions!$D$53)</f>
        <v>0</v>
      </c>
      <c r="Z14" s="66">
        <f>IF(T14="n/a",0,IF(T14&gt;0,(R14-IF(Summary!$D$15="LGPS",'Phased costs'!O14,IF(Summary!$D$15="USS",'Phased costs'!P14,Q14))*T14),0))</f>
        <v>0</v>
      </c>
      <c r="AA14" s="5">
        <f t="shared" si="7"/>
        <v>0</v>
      </c>
      <c r="AB14" s="20">
        <f>IF(T14="n/a",0,IF(Summary!$D$9="Shared Parental",VLOOKUP(A14,assumptions!$F$28:$G$29,2,TRUE)*-0.92,VLOOKUP(A14,assumptions!$F$22:$G$24,2,TRUE)*-0.92))</f>
        <v>0</v>
      </c>
      <c r="AC14" s="21">
        <f t="shared" si="5"/>
        <v>0</v>
      </c>
      <c r="AE14" s="5" t="e">
        <f>B14&gt;=Summary!#REF!</f>
        <v>#REF!</v>
      </c>
      <c r="AF14" s="5" t="e">
        <f>B14&lt;(Summary!#REF!+Summary!#REF!*7)</f>
        <v>#REF!</v>
      </c>
      <c r="AH14" s="104">
        <f>IF($B14&gt;assumptions!$F$59,assumptions!$D$60,assumptions!$D$59)</f>
        <v>9100</v>
      </c>
      <c r="AI14" s="65">
        <f>IF($B14&gt;assumptions!$F$59,assumptions!$D$56,assumptions!$D$55)</f>
        <v>0.13800000000000001</v>
      </c>
    </row>
    <row r="15" spans="1:35" x14ac:dyDescent="0.3">
      <c r="A15" s="1">
        <f t="shared" si="8"/>
        <v>9</v>
      </c>
      <c r="B15" s="17">
        <f t="shared" si="9"/>
        <v>56</v>
      </c>
      <c r="C15" s="107">
        <f t="shared" si="0"/>
        <v>1900</v>
      </c>
      <c r="D15" s="17">
        <f t="shared" si="2"/>
        <v>213</v>
      </c>
      <c r="E15" s="17" t="str">
        <f>IF(B15&lt;assumptions!$D$82,assumptions!$E$82,IF('Phased costs'!B15&lt;assumptions!$D$83,assumptions!$E$83,IF('Phased costs'!B15&lt;assumptions!$D$84,assumptions!$E$84,IF(B15&lt;assumptions!$D$85,assumptions!$E$85))))</f>
        <v>2024/25</v>
      </c>
      <c r="F15" s="17"/>
      <c r="G15" s="5">
        <f>+Summary!$D$7/52</f>
        <v>0</v>
      </c>
      <c r="H15" s="5">
        <f>IF((G15-AH15/52)&gt;0,('Phased costs'!G15-AH15/52)*AI15,0)</f>
        <v>0</v>
      </c>
      <c r="I15" s="5">
        <f t="shared" si="3"/>
        <v>0</v>
      </c>
      <c r="J15" s="3">
        <f>IF(B15&lt;assumptions!$E$52,assumptions!$D$51,assumptions!$D$52)</f>
        <v>0.22600000000000001</v>
      </c>
      <c r="K15" s="3">
        <f>IF(B15&lt;assumptions!$E$50,assumptions!$D$48,assumptions!$D$50)</f>
        <v>0.21099999999999999</v>
      </c>
      <c r="L15" s="3">
        <f>IF(B15&lt;assumptions!$E$53,0,assumptions!$D$53)</f>
        <v>0</v>
      </c>
      <c r="M15" s="5">
        <f>IF(Summary!$D$15="LGPS",'Phased costs'!J15*'Phased costs'!G15,IF(Summary!$D$15="USS",'Phased costs'!K15*'Phased costs'!G15,L15*'Phased costs'!G15))</f>
        <v>0</v>
      </c>
      <c r="N15" s="20">
        <f t="shared" si="4"/>
        <v>0</v>
      </c>
      <c r="O15" s="65">
        <f>VLOOKUP(Summary!$D$7,assumptions!$D$76:$E$78,2,TRUE)</f>
        <v>5.5E-2</v>
      </c>
      <c r="P15" s="65">
        <f>IF(B15&lt;assumptions!$E$48,assumptions!$D$73,assumptions!$D$75)</f>
        <v>9.6000000000000002E-2</v>
      </c>
      <c r="Q15" s="65">
        <f>assumptions!$E$79</f>
        <v>0.06</v>
      </c>
      <c r="R15" s="66">
        <f>IF(Summary!$D$15="LGPS",'Phased costs'!O15,IF(Summary!$D$15="USS",'Phased costs'!P15,Q15))*G15</f>
        <v>0</v>
      </c>
      <c r="S15" s="17" t="str">
        <f>IF(A15&lt;=Summary!$D$13,"L","")</f>
        <v/>
      </c>
      <c r="T15" s="5" t="str">
        <f>IF(OR(Summary!$D$18="SMP",Summary!$D$18="SAP"),VLOOKUP(A15,assumptions!$F$22:$G$24,2,TRUE),IF(OR(Summary!$D$18="OMP/OShPP",Summary!$D$18="OAP"),VLOOKUP('Phased costs'!A15,assumptions!$F$33:$G$36,2,TRUE),IF(Summary!$D$18="ShPP",VLOOKUP(A15,assumptions!$F$28:$G$29,2,TRUE),"n/a")))</f>
        <v>n/a</v>
      </c>
      <c r="U15" s="5">
        <f>IF(T15="n/a",0,IF((T15-AH15/52)&gt;0,('Phased costs'!T15-AH15/52)*AI15,0))</f>
        <v>0</v>
      </c>
      <c r="V15" s="5">
        <f t="shared" si="6"/>
        <v>0</v>
      </c>
      <c r="W15" s="3">
        <f>IF(B15&lt;assumptions!$E$52,assumptions!$D$51,assumptions!$D$52)</f>
        <v>0.22600000000000001</v>
      </c>
      <c r="X15" s="3">
        <f>IF(B15&lt;assumptions!$E$50,assumptions!$D$48,assumptions!$D$50)</f>
        <v>0.21099999999999999</v>
      </c>
      <c r="Y15" s="3">
        <f>IF(B15&lt;assumptions!$E$53,0,assumptions!$D$53)</f>
        <v>0</v>
      </c>
      <c r="Z15" s="66">
        <f>IF(T15="n/a",0,IF(T15&gt;0,(R15-IF(Summary!$D$15="LGPS",'Phased costs'!O15,IF(Summary!$D$15="USS",'Phased costs'!P15,Q15))*T15),0))</f>
        <v>0</v>
      </c>
      <c r="AA15" s="5">
        <f t="shared" si="7"/>
        <v>0</v>
      </c>
      <c r="AB15" s="20">
        <f>IF(T15="n/a",0,IF(Summary!$D$9="Shared Parental",VLOOKUP(A15,assumptions!$F$28:$G$29,2,TRUE)*-0.92,VLOOKUP(A15,assumptions!$F$22:$G$24,2,TRUE)*-0.92))</f>
        <v>0</v>
      </c>
      <c r="AC15" s="21">
        <f t="shared" si="5"/>
        <v>0</v>
      </c>
      <c r="AE15" s="5" t="e">
        <f>B15&gt;=Summary!#REF!</f>
        <v>#REF!</v>
      </c>
      <c r="AF15" s="5" t="e">
        <f>B15&lt;(Summary!#REF!+Summary!#REF!*7)</f>
        <v>#REF!</v>
      </c>
      <c r="AH15" s="104">
        <f>IF($B15&gt;assumptions!$F$59,assumptions!$D$60,assumptions!$D$59)</f>
        <v>9100</v>
      </c>
      <c r="AI15" s="65">
        <f>IF($B15&gt;assumptions!$F$59,assumptions!$D$56,assumptions!$D$55)</f>
        <v>0.13800000000000001</v>
      </c>
    </row>
    <row r="16" spans="1:35" x14ac:dyDescent="0.3">
      <c r="A16" s="1">
        <f t="shared" si="8"/>
        <v>10</v>
      </c>
      <c r="B16" s="17">
        <f t="shared" si="9"/>
        <v>63</v>
      </c>
      <c r="C16" s="107">
        <f t="shared" si="0"/>
        <v>1900</v>
      </c>
      <c r="D16" s="17">
        <f t="shared" si="2"/>
        <v>213</v>
      </c>
      <c r="E16" s="17" t="str">
        <f>IF(B16&lt;assumptions!$D$82,assumptions!$E$82,IF('Phased costs'!B16&lt;assumptions!$D$83,assumptions!$E$83,IF('Phased costs'!B16&lt;assumptions!$D$84,assumptions!$E$84,IF(B16&lt;assumptions!$D$85,assumptions!$E$85))))</f>
        <v>2024/25</v>
      </c>
      <c r="F16" s="17"/>
      <c r="G16" s="5">
        <f>+Summary!$D$7/52</f>
        <v>0</v>
      </c>
      <c r="H16" s="5">
        <f>IF((G16-AH16/52)&gt;0,('Phased costs'!G16-AH16/52)*AI16,0)</f>
        <v>0</v>
      </c>
      <c r="I16" s="5">
        <f t="shared" si="3"/>
        <v>0</v>
      </c>
      <c r="J16" s="3">
        <f>IF(B16&lt;assumptions!$E$52,assumptions!$D$51,assumptions!$D$52)</f>
        <v>0.22600000000000001</v>
      </c>
      <c r="K16" s="3">
        <f>IF(B16&lt;assumptions!$E$50,assumptions!$D$48,assumptions!$D$50)</f>
        <v>0.21099999999999999</v>
      </c>
      <c r="L16" s="3">
        <f>IF(B16&lt;assumptions!$E$53,0,assumptions!$D$53)</f>
        <v>0</v>
      </c>
      <c r="M16" s="5">
        <f>IF(Summary!$D$15="LGPS",'Phased costs'!J16*'Phased costs'!G16,IF(Summary!$D$15="USS",'Phased costs'!K16*'Phased costs'!G16,L16*'Phased costs'!G16))</f>
        <v>0</v>
      </c>
      <c r="N16" s="20">
        <f t="shared" si="4"/>
        <v>0</v>
      </c>
      <c r="O16" s="65">
        <f>VLOOKUP(Summary!$D$7,assumptions!$D$76:$E$78,2,TRUE)</f>
        <v>5.5E-2</v>
      </c>
      <c r="P16" s="65">
        <f>IF(B16&lt;assumptions!$E$48,assumptions!$D$73,assumptions!$D$75)</f>
        <v>9.6000000000000002E-2</v>
      </c>
      <c r="Q16" s="65">
        <f>assumptions!$E$79</f>
        <v>0.06</v>
      </c>
      <c r="R16" s="66">
        <f>IF(Summary!$D$15="LGPS",'Phased costs'!O16,IF(Summary!$D$15="USS",'Phased costs'!P16,Q16))*G16</f>
        <v>0</v>
      </c>
      <c r="S16" s="17" t="str">
        <f>IF(A16&lt;=Summary!$D$13,"L","")</f>
        <v/>
      </c>
      <c r="T16" s="5" t="str">
        <f>IF(OR(Summary!$D$18="SMP",Summary!$D$18="SAP"),VLOOKUP(A16,assumptions!$F$22:$G$24,2,TRUE),IF(OR(Summary!$D$18="OMP/OShPP",Summary!$D$18="OAP"),VLOOKUP('Phased costs'!A16,assumptions!$F$33:$G$36,2,TRUE),IF(Summary!$D$18="ShPP",VLOOKUP(A16,assumptions!$F$28:$G$29,2,TRUE),"n/a")))</f>
        <v>n/a</v>
      </c>
      <c r="U16" s="5">
        <f>IF(T16="n/a",0,IF((T16-AH16/52)&gt;0,('Phased costs'!T16-AH16/52)*AI16,0))</f>
        <v>0</v>
      </c>
      <c r="V16" s="5">
        <f t="shared" si="6"/>
        <v>0</v>
      </c>
      <c r="W16" s="3">
        <f>IF(B16&lt;assumptions!$E$52,assumptions!$D$51,assumptions!$D$52)</f>
        <v>0.22600000000000001</v>
      </c>
      <c r="X16" s="3">
        <f>IF(B16&lt;assumptions!$E$50,assumptions!$D$48,assumptions!$D$50)</f>
        <v>0.21099999999999999</v>
      </c>
      <c r="Y16" s="3">
        <f>IF(B16&lt;assumptions!$E$53,0,assumptions!$D$53)</f>
        <v>0</v>
      </c>
      <c r="Z16" s="66">
        <f>IF(T16="n/a",0,IF(T16&gt;0,(R16-IF(Summary!$D$15="LGPS",'Phased costs'!O16,IF(Summary!$D$15="USS",'Phased costs'!P16,Q16))*T16),0))</f>
        <v>0</v>
      </c>
      <c r="AA16" s="5">
        <f t="shared" si="7"/>
        <v>0</v>
      </c>
      <c r="AB16" s="20">
        <f>IF(T16="n/a",0,IF(Summary!$D$9="Shared Parental",VLOOKUP(A16,assumptions!$F$28:$G$29,2,TRUE)*-0.92,VLOOKUP(A16,assumptions!$F$22:$G$24,2,TRUE)*-0.92))</f>
        <v>0</v>
      </c>
      <c r="AC16" s="21">
        <f t="shared" si="5"/>
        <v>0</v>
      </c>
      <c r="AE16" s="5" t="e">
        <f>B16&gt;=Summary!#REF!</f>
        <v>#REF!</v>
      </c>
      <c r="AF16" s="5" t="e">
        <f>B16&lt;(Summary!#REF!+Summary!#REF!*7)</f>
        <v>#REF!</v>
      </c>
      <c r="AH16" s="104">
        <f>IF($B16&gt;assumptions!$F$59,assumptions!$D$60,assumptions!$D$59)</f>
        <v>9100</v>
      </c>
      <c r="AI16" s="65">
        <f>IF($B16&gt;assumptions!$F$59,assumptions!$D$56,assumptions!$D$55)</f>
        <v>0.13800000000000001</v>
      </c>
    </row>
    <row r="17" spans="1:35" x14ac:dyDescent="0.3">
      <c r="A17" s="1">
        <f t="shared" si="8"/>
        <v>11</v>
      </c>
      <c r="B17" s="17">
        <f t="shared" si="9"/>
        <v>70</v>
      </c>
      <c r="C17" s="107">
        <f t="shared" si="0"/>
        <v>1900</v>
      </c>
      <c r="D17" s="17">
        <f t="shared" si="2"/>
        <v>213</v>
      </c>
      <c r="E17" s="17" t="str">
        <f>IF(B17&lt;assumptions!$D$82,assumptions!$E$82,IF('Phased costs'!B17&lt;assumptions!$D$83,assumptions!$E$83,IF('Phased costs'!B17&lt;assumptions!$D$84,assumptions!$E$84,IF(B17&lt;assumptions!$D$85,assumptions!$E$85))))</f>
        <v>2024/25</v>
      </c>
      <c r="F17" s="17"/>
      <c r="G17" s="5">
        <f>+Summary!$D$7/52</f>
        <v>0</v>
      </c>
      <c r="H17" s="5">
        <f>IF((G17-AH17/52)&gt;0,('Phased costs'!G17-AH17/52)*AI17,0)</f>
        <v>0</v>
      </c>
      <c r="I17" s="5">
        <f t="shared" si="3"/>
        <v>0</v>
      </c>
      <c r="J17" s="3">
        <f>IF(B17&lt;assumptions!$E$52,assumptions!$D$51,assumptions!$D$52)</f>
        <v>0.22600000000000001</v>
      </c>
      <c r="K17" s="3">
        <f>IF(B17&lt;assumptions!$E$50,assumptions!$D$48,assumptions!$D$50)</f>
        <v>0.21099999999999999</v>
      </c>
      <c r="L17" s="3">
        <f>IF(B17&lt;assumptions!$E$53,0,assumptions!$D$53)</f>
        <v>0</v>
      </c>
      <c r="M17" s="5">
        <f>IF(Summary!$D$15="LGPS",'Phased costs'!J17*'Phased costs'!G17,IF(Summary!$D$15="USS",'Phased costs'!K17*'Phased costs'!G17,L17*'Phased costs'!G17))</f>
        <v>0</v>
      </c>
      <c r="N17" s="20">
        <f t="shared" si="4"/>
        <v>0</v>
      </c>
      <c r="O17" s="65">
        <f>VLOOKUP(Summary!$D$7,assumptions!$D$76:$E$78,2,TRUE)</f>
        <v>5.5E-2</v>
      </c>
      <c r="P17" s="65">
        <f>IF(B17&lt;assumptions!$E$48,assumptions!$D$73,assumptions!$D$75)</f>
        <v>9.6000000000000002E-2</v>
      </c>
      <c r="Q17" s="65">
        <f>assumptions!$E$79</f>
        <v>0.06</v>
      </c>
      <c r="R17" s="66">
        <f>IF(Summary!$D$15="LGPS",'Phased costs'!O17,IF(Summary!$D$15="USS",'Phased costs'!P17,Q17))*G17</f>
        <v>0</v>
      </c>
      <c r="S17" s="17" t="str">
        <f>IF(A17&lt;=Summary!$D$13,"L","")</f>
        <v/>
      </c>
      <c r="T17" s="5" t="str">
        <f>IF(OR(Summary!$D$18="SMP",Summary!$D$18="SAP"),VLOOKUP(A17,assumptions!$F$22:$G$24,2,TRUE),IF(OR(Summary!$D$18="OMP/OShPP",Summary!$D$18="OAP"),VLOOKUP('Phased costs'!A17,assumptions!$F$33:$G$36,2,TRUE),IF(Summary!$D$18="ShPP",VLOOKUP(A17,assumptions!$F$28:$G$29,2,TRUE),"n/a")))</f>
        <v>n/a</v>
      </c>
      <c r="U17" s="5">
        <f>IF(T17="n/a",0,IF((T17-AH17/52)&gt;0,('Phased costs'!T17-AH17/52)*AI17,0))</f>
        <v>0</v>
      </c>
      <c r="V17" s="5">
        <f t="shared" si="6"/>
        <v>0</v>
      </c>
      <c r="W17" s="3">
        <f>IF(B17&lt;assumptions!$E$52,assumptions!$D$51,assumptions!$D$52)</f>
        <v>0.22600000000000001</v>
      </c>
      <c r="X17" s="3">
        <f>IF(B17&lt;assumptions!$E$50,assumptions!$D$48,assumptions!$D$50)</f>
        <v>0.21099999999999999</v>
      </c>
      <c r="Y17" s="3">
        <f>IF(B17&lt;assumptions!$E$53,0,assumptions!$D$53)</f>
        <v>0</v>
      </c>
      <c r="Z17" s="66">
        <f>IF(T17="n/a",0,IF(T17&gt;0,(R17-IF(Summary!$D$15="LGPS",'Phased costs'!O17,IF(Summary!$D$15="USS",'Phased costs'!P17,Q17))*T17),0))</f>
        <v>0</v>
      </c>
      <c r="AA17" s="5">
        <f t="shared" si="7"/>
        <v>0</v>
      </c>
      <c r="AB17" s="20">
        <f>IF(T17="n/a",0,IF(Summary!$D$9="Shared Parental",VLOOKUP(A17,assumptions!$F$28:$G$29,2,TRUE)*-0.92,VLOOKUP(A17,assumptions!$F$22:$G$24,2,TRUE)*-0.92))</f>
        <v>0</v>
      </c>
      <c r="AC17" s="21">
        <f t="shared" si="5"/>
        <v>0</v>
      </c>
      <c r="AE17" s="5" t="e">
        <f>B17&gt;=Summary!#REF!</f>
        <v>#REF!</v>
      </c>
      <c r="AF17" s="5" t="e">
        <f>B17&lt;(Summary!#REF!+Summary!#REF!*7)</f>
        <v>#REF!</v>
      </c>
      <c r="AH17" s="104">
        <f>IF($B17&gt;assumptions!$F$59,assumptions!$D$60,assumptions!$D$59)</f>
        <v>9100</v>
      </c>
      <c r="AI17" s="65">
        <f>IF($B17&gt;assumptions!$F$59,assumptions!$D$56,assumptions!$D$55)</f>
        <v>0.13800000000000001</v>
      </c>
    </row>
    <row r="18" spans="1:35" x14ac:dyDescent="0.3">
      <c r="A18" s="1">
        <f t="shared" si="8"/>
        <v>12</v>
      </c>
      <c r="B18" s="17">
        <f t="shared" si="9"/>
        <v>77</v>
      </c>
      <c r="C18" s="107">
        <f t="shared" si="0"/>
        <v>1900</v>
      </c>
      <c r="D18" s="17">
        <f>DATEVALUE("31 July"&amp;C18)</f>
        <v>213</v>
      </c>
      <c r="E18" s="17" t="str">
        <f>IF(B18&lt;assumptions!$D$82,assumptions!$E$82,IF('Phased costs'!B18&lt;assumptions!$D$83,assumptions!$E$83,IF('Phased costs'!B18&lt;assumptions!$D$84,assumptions!$E$84,IF(B18&lt;assumptions!$D$85,assumptions!$E$85))))</f>
        <v>2024/25</v>
      </c>
      <c r="F18" s="17"/>
      <c r="G18" s="5">
        <f>+Summary!$D$7/52</f>
        <v>0</v>
      </c>
      <c r="H18" s="5">
        <f>IF((G18-AH18/52)&gt;0,('Phased costs'!G18-AH18/52)*AI18,0)</f>
        <v>0</v>
      </c>
      <c r="I18" s="5">
        <f t="shared" si="3"/>
        <v>0</v>
      </c>
      <c r="J18" s="3">
        <f>IF(B18&lt;assumptions!$E$52,assumptions!$D$51,assumptions!$D$52)</f>
        <v>0.22600000000000001</v>
      </c>
      <c r="K18" s="3">
        <f>IF(B18&lt;assumptions!$E$50,assumptions!$D$48,assumptions!$D$50)</f>
        <v>0.21099999999999999</v>
      </c>
      <c r="L18" s="3">
        <f>IF(B18&lt;assumptions!$E$53,0,assumptions!$D$53)</f>
        <v>0</v>
      </c>
      <c r="M18" s="5">
        <f>IF(Summary!$D$15="LGPS",'Phased costs'!J18*'Phased costs'!G18,IF(Summary!$D$15="USS",'Phased costs'!K18*'Phased costs'!G18,L18*'Phased costs'!G18))</f>
        <v>0</v>
      </c>
      <c r="N18" s="20">
        <f t="shared" si="4"/>
        <v>0</v>
      </c>
      <c r="O18" s="65">
        <f>VLOOKUP(Summary!$D$7,assumptions!$D$76:$E$78,2,TRUE)</f>
        <v>5.5E-2</v>
      </c>
      <c r="P18" s="65">
        <f>IF(B18&lt;assumptions!$E$48,assumptions!$D$73,assumptions!$D$75)</f>
        <v>9.6000000000000002E-2</v>
      </c>
      <c r="Q18" s="65">
        <f>assumptions!$E$79</f>
        <v>0.06</v>
      </c>
      <c r="R18" s="66">
        <f>IF(Summary!$D$15="LGPS",'Phased costs'!O18,IF(Summary!$D$15="USS",'Phased costs'!P18,Q18))*G18</f>
        <v>0</v>
      </c>
      <c r="S18" s="17" t="str">
        <f>IF(A18&lt;=Summary!$D$13,"L","")</f>
        <v/>
      </c>
      <c r="T18" s="5" t="str">
        <f>IF(OR(Summary!$D$18="SMP",Summary!$D$18="SAP"),VLOOKUP(A18,assumptions!$F$22:$G$24,2,TRUE),IF(OR(Summary!$D$18="OMP/OShPP",Summary!$D$18="OAP"),VLOOKUP('Phased costs'!A18,assumptions!$F$33:$G$36,2,TRUE),IF(Summary!$D$18="ShPP",VLOOKUP(A18,assumptions!$F$28:$G$29,2,TRUE),"n/a")))</f>
        <v>n/a</v>
      </c>
      <c r="U18" s="5">
        <f>IF(T18="n/a",0,IF((T18-AH18/52)&gt;0,('Phased costs'!T18-AH18/52)*AI18,0))</f>
        <v>0</v>
      </c>
      <c r="V18" s="5">
        <f t="shared" si="6"/>
        <v>0</v>
      </c>
      <c r="W18" s="3">
        <f>IF(B18&lt;assumptions!$E$52,assumptions!$D$51,assumptions!$D$52)</f>
        <v>0.22600000000000001</v>
      </c>
      <c r="X18" s="3">
        <f>IF(B18&lt;assumptions!$E$50,assumptions!$D$48,assumptions!$D$50)</f>
        <v>0.21099999999999999</v>
      </c>
      <c r="Y18" s="3">
        <f>IF(B18&lt;assumptions!$E$53,0,assumptions!$D$53)</f>
        <v>0</v>
      </c>
      <c r="Z18" s="66">
        <f>IF(T18="n/a",0,IF(T18&gt;0,(R18-IF(Summary!$D$15="LGPS",'Phased costs'!O18,IF(Summary!$D$15="USS",'Phased costs'!P18,Q18))*T18),0))</f>
        <v>0</v>
      </c>
      <c r="AA18" s="5">
        <f t="shared" si="7"/>
        <v>0</v>
      </c>
      <c r="AB18" s="20">
        <f>IF(T18="n/a",0,IF(Summary!$D$9="Shared Parental",VLOOKUP(A18,assumptions!$F$28:$G$29,2,TRUE)*-0.92,VLOOKUP(A18,assumptions!$F$22:$G$24,2,TRUE)*-0.92))</f>
        <v>0</v>
      </c>
      <c r="AC18" s="21">
        <f t="shared" si="5"/>
        <v>0</v>
      </c>
      <c r="AE18" s="5" t="e">
        <f>B18&gt;=Summary!#REF!</f>
        <v>#REF!</v>
      </c>
      <c r="AF18" s="5" t="e">
        <f>B18&lt;(Summary!#REF!+Summary!#REF!*7)</f>
        <v>#REF!</v>
      </c>
      <c r="AH18" s="104">
        <f>IF($B18&gt;assumptions!$F$59,assumptions!$D$60,assumptions!$D$59)</f>
        <v>9100</v>
      </c>
      <c r="AI18" s="65">
        <f>IF($B18&gt;assumptions!$F$59,assumptions!$D$56,assumptions!$D$55)</f>
        <v>0.13800000000000001</v>
      </c>
    </row>
    <row r="19" spans="1:35" x14ac:dyDescent="0.3">
      <c r="A19" s="1">
        <f t="shared" si="8"/>
        <v>13</v>
      </c>
      <c r="B19" s="17">
        <f t="shared" si="9"/>
        <v>84</v>
      </c>
      <c r="C19" s="107">
        <f t="shared" si="0"/>
        <v>1900</v>
      </c>
      <c r="D19" s="17">
        <f t="shared" si="2"/>
        <v>213</v>
      </c>
      <c r="E19" s="17" t="str">
        <f>IF(B19&lt;assumptions!$D$82,assumptions!$E$82,IF('Phased costs'!B19&lt;assumptions!$D$83,assumptions!$E$83,IF('Phased costs'!B19&lt;assumptions!$D$84,assumptions!$E$84,IF(B19&lt;assumptions!$D$85,assumptions!$E$85))))</f>
        <v>2024/25</v>
      </c>
      <c r="F19" s="17"/>
      <c r="G19" s="5">
        <f>+Summary!$D$7/52</f>
        <v>0</v>
      </c>
      <c r="H19" s="5">
        <f>IF((G19-AH19/52)&gt;0,('Phased costs'!G19-AH19/52)*AI19,0)</f>
        <v>0</v>
      </c>
      <c r="I19" s="5">
        <f t="shared" si="3"/>
        <v>0</v>
      </c>
      <c r="J19" s="3">
        <f>IF(B19&lt;assumptions!$E$52,assumptions!$D$51,assumptions!$D$52)</f>
        <v>0.22600000000000001</v>
      </c>
      <c r="K19" s="3">
        <f>IF(B19&lt;assumptions!$E$50,assumptions!$D$48,assumptions!$D$50)</f>
        <v>0.21099999999999999</v>
      </c>
      <c r="L19" s="3">
        <f>IF(B19&lt;assumptions!$E$53,0,assumptions!$D$53)</f>
        <v>0</v>
      </c>
      <c r="M19" s="5">
        <f>IF(Summary!$D$15="LGPS",'Phased costs'!J19*'Phased costs'!G19,IF(Summary!$D$15="USS",'Phased costs'!K19*'Phased costs'!G19,L19*'Phased costs'!G19))</f>
        <v>0</v>
      </c>
      <c r="N19" s="20">
        <f t="shared" si="4"/>
        <v>0</v>
      </c>
      <c r="O19" s="65">
        <f>VLOOKUP(Summary!$D$7,assumptions!$D$76:$E$78,2,TRUE)</f>
        <v>5.5E-2</v>
      </c>
      <c r="P19" s="65">
        <f>IF(B19&lt;assumptions!$E$48,assumptions!$D$73,assumptions!$D$75)</f>
        <v>9.6000000000000002E-2</v>
      </c>
      <c r="Q19" s="65">
        <f>assumptions!$E$79</f>
        <v>0.06</v>
      </c>
      <c r="R19" s="66">
        <f>IF(Summary!$D$15="LGPS",'Phased costs'!O19,IF(Summary!$D$15="USS",'Phased costs'!P19,Q19))*G19</f>
        <v>0</v>
      </c>
      <c r="S19" s="17" t="str">
        <f>IF(A19&lt;=Summary!$D$13,"L","")</f>
        <v/>
      </c>
      <c r="T19" s="5" t="str">
        <f>IF(OR(Summary!$D$18="SMP",Summary!$D$18="SAP"),VLOOKUP(A19,assumptions!$F$22:$G$24,2,TRUE),IF(OR(Summary!$D$18="OMP/OShPP",Summary!$D$18="OAP"),VLOOKUP('Phased costs'!A19,assumptions!$F$33:$G$36,2,TRUE),IF(Summary!$D$18="ShPP",VLOOKUP(A19,assumptions!$F$28:$G$29,2,TRUE),"n/a")))</f>
        <v>n/a</v>
      </c>
      <c r="U19" s="5">
        <f>IF(T19="n/a",0,IF((T19-AH19/52)&gt;0,('Phased costs'!T19-AH19/52)*AI19,0))</f>
        <v>0</v>
      </c>
      <c r="V19" s="5">
        <f t="shared" si="6"/>
        <v>0</v>
      </c>
      <c r="W19" s="3">
        <f>IF(B19&lt;assumptions!$E$52,assumptions!$D$51,assumptions!$D$52)</f>
        <v>0.22600000000000001</v>
      </c>
      <c r="X19" s="3">
        <f>IF(B19&lt;assumptions!$E$50,assumptions!$D$48,assumptions!$D$50)</f>
        <v>0.21099999999999999</v>
      </c>
      <c r="Y19" s="3">
        <f>IF(B19&lt;assumptions!$E$53,0,assumptions!$D$53)</f>
        <v>0</v>
      </c>
      <c r="Z19" s="66">
        <f>IF(T19="n/a",0,IF(T19&gt;0,(R19-IF(Summary!$D$15="LGPS",'Phased costs'!O19,IF(Summary!$D$15="USS",'Phased costs'!P19,Q19))*T19),0))</f>
        <v>0</v>
      </c>
      <c r="AA19" s="5">
        <f t="shared" si="7"/>
        <v>0</v>
      </c>
      <c r="AB19" s="20">
        <f>IF(T19="n/a",0,IF(Summary!$D$9="Shared Parental",VLOOKUP(A19,assumptions!$F$28:$G$29,2,TRUE)*-0.92,VLOOKUP(A19,assumptions!$F$22:$G$24,2,TRUE)*-0.92))</f>
        <v>0</v>
      </c>
      <c r="AC19" s="21">
        <f t="shared" si="5"/>
        <v>0</v>
      </c>
      <c r="AE19" s="5" t="e">
        <f>B19&gt;=Summary!#REF!</f>
        <v>#REF!</v>
      </c>
      <c r="AF19" s="5" t="e">
        <f>B19&lt;(Summary!#REF!+Summary!#REF!*7)</f>
        <v>#REF!</v>
      </c>
      <c r="AH19" s="104">
        <f>IF($B19&gt;assumptions!$F$59,assumptions!$D$60,assumptions!$D$59)</f>
        <v>9100</v>
      </c>
      <c r="AI19" s="65">
        <f>IF($B19&gt;assumptions!$F$59,assumptions!$D$56,assumptions!$D$55)</f>
        <v>0.13800000000000001</v>
      </c>
    </row>
    <row r="20" spans="1:35" x14ac:dyDescent="0.3">
      <c r="A20" s="1">
        <f t="shared" si="8"/>
        <v>14</v>
      </c>
      <c r="B20" s="17">
        <f t="shared" si="9"/>
        <v>91</v>
      </c>
      <c r="C20" s="107">
        <f t="shared" si="0"/>
        <v>1900</v>
      </c>
      <c r="D20" s="17">
        <f t="shared" si="2"/>
        <v>213</v>
      </c>
      <c r="E20" s="17" t="str">
        <f>IF(B20&lt;assumptions!$D$82,assumptions!$E$82,IF('Phased costs'!B20&lt;assumptions!$D$83,assumptions!$E$83,IF('Phased costs'!B20&lt;assumptions!$D$84,assumptions!$E$84,IF(B20&lt;assumptions!$D$85,assumptions!$E$85))))</f>
        <v>2024/25</v>
      </c>
      <c r="F20" s="17"/>
      <c r="G20" s="5">
        <f>+Summary!$D$7/52</f>
        <v>0</v>
      </c>
      <c r="H20" s="5">
        <f>IF((G20-AH20/52)&gt;0,('Phased costs'!G20-AH20/52)*AI20,0)</f>
        <v>0</v>
      </c>
      <c r="I20" s="5">
        <f t="shared" si="3"/>
        <v>0</v>
      </c>
      <c r="J20" s="3">
        <f>IF(B20&lt;assumptions!$E$52,assumptions!$D$51,assumptions!$D$52)</f>
        <v>0.22600000000000001</v>
      </c>
      <c r="K20" s="3">
        <f>IF(B20&lt;assumptions!$E$50,assumptions!$D$48,assumptions!$D$50)</f>
        <v>0.21099999999999999</v>
      </c>
      <c r="L20" s="3">
        <f>IF(B20&lt;assumptions!$E$53,0,assumptions!$D$53)</f>
        <v>0</v>
      </c>
      <c r="M20" s="5">
        <f>IF(Summary!$D$15="LGPS",'Phased costs'!J20*'Phased costs'!G20,IF(Summary!$D$15="USS",'Phased costs'!K20*'Phased costs'!G20,L20*'Phased costs'!G20))</f>
        <v>0</v>
      </c>
      <c r="N20" s="20">
        <f t="shared" si="4"/>
        <v>0</v>
      </c>
      <c r="O20" s="65">
        <f>VLOOKUP(Summary!$D$7,assumptions!$D$76:$E$78,2,TRUE)</f>
        <v>5.5E-2</v>
      </c>
      <c r="P20" s="65">
        <f>IF(B20&lt;assumptions!$E$48,assumptions!$D$73,assumptions!$D$75)</f>
        <v>9.6000000000000002E-2</v>
      </c>
      <c r="Q20" s="65">
        <f>assumptions!$E$79</f>
        <v>0.06</v>
      </c>
      <c r="R20" s="66">
        <f>IF(Summary!$D$15="LGPS",'Phased costs'!O20,IF(Summary!$D$15="USS",'Phased costs'!P20,Q20))*G20</f>
        <v>0</v>
      </c>
      <c r="S20" s="17" t="str">
        <f>IF(A20&lt;=Summary!$D$13,"L","")</f>
        <v/>
      </c>
      <c r="T20" s="5" t="str">
        <f>IF(OR(Summary!$D$18="SMP",Summary!$D$18="SAP"),VLOOKUP(A20,assumptions!$F$22:$G$24,2,TRUE),IF(OR(Summary!$D$18="OMP/OShPP",Summary!$D$18="OAP"),VLOOKUP('Phased costs'!A20,assumptions!$F$33:$G$36,2,TRUE),IF(Summary!$D$18="ShPP",VLOOKUP(A20,assumptions!$F$28:$G$29,2,TRUE),"n/a")))</f>
        <v>n/a</v>
      </c>
      <c r="U20" s="5">
        <f>IF(T20="n/a",0,IF((T20-AH20/52)&gt;0,('Phased costs'!T20-AH20/52)*AI20,0))</f>
        <v>0</v>
      </c>
      <c r="V20" s="5">
        <f t="shared" si="6"/>
        <v>0</v>
      </c>
      <c r="W20" s="3">
        <f>IF(B20&lt;assumptions!$E$52,assumptions!$D$51,assumptions!$D$52)</f>
        <v>0.22600000000000001</v>
      </c>
      <c r="X20" s="3">
        <f>IF(B20&lt;assumptions!$E$50,assumptions!$D$48,assumptions!$D$50)</f>
        <v>0.21099999999999999</v>
      </c>
      <c r="Y20" s="3">
        <f>IF(B20&lt;assumptions!$E$53,0,assumptions!$D$53)</f>
        <v>0</v>
      </c>
      <c r="Z20" s="66">
        <f>IF(T20="n/a",0,IF(T20&gt;0,(R20-IF(Summary!$D$15="LGPS",'Phased costs'!O20,IF(Summary!$D$15="USS",'Phased costs'!P20,Q20))*T20),0))</f>
        <v>0</v>
      </c>
      <c r="AA20" s="5">
        <f t="shared" si="7"/>
        <v>0</v>
      </c>
      <c r="AB20" s="20">
        <f>IF(T20="n/a",0,IF(Summary!$D$9="Shared Parental",VLOOKUP(A20,assumptions!$F$28:$G$29,2,TRUE)*-0.92,VLOOKUP(A20,assumptions!$F$22:$G$24,2,TRUE)*-0.92))</f>
        <v>0</v>
      </c>
      <c r="AC20" s="21">
        <f t="shared" si="5"/>
        <v>0</v>
      </c>
      <c r="AE20" s="5" t="e">
        <f>B20&gt;=Summary!#REF!</f>
        <v>#REF!</v>
      </c>
      <c r="AF20" s="5" t="e">
        <f>B20&lt;(Summary!#REF!+Summary!#REF!*7)</f>
        <v>#REF!</v>
      </c>
      <c r="AH20" s="104">
        <f>IF($B20&gt;assumptions!$F$59,assumptions!$D$60,assumptions!$D$59)</f>
        <v>9100</v>
      </c>
      <c r="AI20" s="65">
        <f>IF($B20&gt;assumptions!$F$59,assumptions!$D$56,assumptions!$D$55)</f>
        <v>0.13800000000000001</v>
      </c>
    </row>
    <row r="21" spans="1:35" x14ac:dyDescent="0.3">
      <c r="A21" s="1">
        <f t="shared" si="8"/>
        <v>15</v>
      </c>
      <c r="B21" s="17">
        <f t="shared" si="9"/>
        <v>98</v>
      </c>
      <c r="C21" s="107">
        <f t="shared" si="0"/>
        <v>1900</v>
      </c>
      <c r="D21" s="17">
        <f t="shared" si="2"/>
        <v>213</v>
      </c>
      <c r="E21" s="17" t="str">
        <f>IF(B21&lt;assumptions!$D$82,assumptions!$E$82,IF('Phased costs'!B21&lt;assumptions!$D$83,assumptions!$E$83,IF('Phased costs'!B21&lt;assumptions!$D$84,assumptions!$E$84,IF(B21&lt;assumptions!$D$85,assumptions!$E$85))))</f>
        <v>2024/25</v>
      </c>
      <c r="F21" s="17"/>
      <c r="G21" s="5">
        <f>+Summary!$D$7/52</f>
        <v>0</v>
      </c>
      <c r="H21" s="5">
        <f>IF((G21-AH21/52)&gt;0,('Phased costs'!G21-AH21/52)*AI21,0)</f>
        <v>0</v>
      </c>
      <c r="I21" s="5">
        <f t="shared" si="3"/>
        <v>0</v>
      </c>
      <c r="J21" s="3">
        <f>IF(B21&lt;assumptions!$E$52,assumptions!$D$51,assumptions!$D$52)</f>
        <v>0.22600000000000001</v>
      </c>
      <c r="K21" s="3">
        <f>IF(B21&lt;assumptions!$E$50,assumptions!$D$48,assumptions!$D$50)</f>
        <v>0.21099999999999999</v>
      </c>
      <c r="L21" s="3">
        <f>IF(B21&lt;assumptions!$E$53,0,assumptions!$D$53)</f>
        <v>0</v>
      </c>
      <c r="M21" s="5">
        <f>IF(Summary!$D$15="LGPS",'Phased costs'!J21*'Phased costs'!G21,IF(Summary!$D$15="USS",'Phased costs'!K21*'Phased costs'!G21,L21*'Phased costs'!G21))</f>
        <v>0</v>
      </c>
      <c r="N21" s="20">
        <f t="shared" si="4"/>
        <v>0</v>
      </c>
      <c r="O21" s="65">
        <f>VLOOKUP(Summary!$D$7,assumptions!$D$76:$E$78,2,TRUE)</f>
        <v>5.5E-2</v>
      </c>
      <c r="P21" s="65">
        <f>IF(B21&lt;assumptions!$E$48,assumptions!$D$73,assumptions!$D$75)</f>
        <v>9.6000000000000002E-2</v>
      </c>
      <c r="Q21" s="65">
        <f>assumptions!$E$79</f>
        <v>0.06</v>
      </c>
      <c r="R21" s="66">
        <f>IF(Summary!$D$15="LGPS",'Phased costs'!O21,IF(Summary!$D$15="USS",'Phased costs'!P21,Q21))*G21</f>
        <v>0</v>
      </c>
      <c r="S21" s="17" t="str">
        <f>IF(A21&lt;=Summary!$D$13,"L","")</f>
        <v/>
      </c>
      <c r="T21" s="5" t="str">
        <f>IF(OR(Summary!$D$18="SMP",Summary!$D$18="SAP"),VLOOKUP(A21,assumptions!$F$22:$G$24,2,TRUE),IF(OR(Summary!$D$18="OMP/OShPP",Summary!$D$18="OAP"),VLOOKUP('Phased costs'!A21,assumptions!$F$33:$G$36,2,TRUE),IF(Summary!$D$18="ShPP",VLOOKUP(A21,assumptions!$F$28:$G$29,2,TRUE),"n/a")))</f>
        <v>n/a</v>
      </c>
      <c r="U21" s="5">
        <f>IF(T21="n/a",0,IF((T21-AH21/52)&gt;0,('Phased costs'!T21-AH21/52)*AI21,0))</f>
        <v>0</v>
      </c>
      <c r="V21" s="5">
        <f t="shared" si="6"/>
        <v>0</v>
      </c>
      <c r="W21" s="3">
        <f>IF(B21&lt;assumptions!$E$52,assumptions!$D$51,assumptions!$D$52)</f>
        <v>0.22600000000000001</v>
      </c>
      <c r="X21" s="3">
        <f>IF(B21&lt;assumptions!$E$50,assumptions!$D$48,assumptions!$D$50)</f>
        <v>0.21099999999999999</v>
      </c>
      <c r="Y21" s="3">
        <f>IF(B21&lt;assumptions!$E$53,0,assumptions!$D$53)</f>
        <v>0</v>
      </c>
      <c r="Z21" s="66">
        <f>IF(T21="n/a",0,IF(T21&gt;0,(R21-IF(Summary!$D$15="LGPS",'Phased costs'!O21,IF(Summary!$D$15="USS",'Phased costs'!P21,Q21))*T21),0))</f>
        <v>0</v>
      </c>
      <c r="AA21" s="5">
        <f t="shared" si="7"/>
        <v>0</v>
      </c>
      <c r="AB21" s="20">
        <f>IF(T21="n/a",0,IF(Summary!$D$9="Shared Parental",VLOOKUP(A21,assumptions!$F$28:$G$29,2,TRUE)*-0.92,VLOOKUP(A21,assumptions!$F$22:$G$24,2,TRUE)*-0.92))</f>
        <v>0</v>
      </c>
      <c r="AC21" s="21">
        <f t="shared" si="5"/>
        <v>0</v>
      </c>
      <c r="AE21" s="5" t="e">
        <f>B21&gt;=Summary!#REF!</f>
        <v>#REF!</v>
      </c>
      <c r="AF21" s="5" t="e">
        <f>B21&lt;(Summary!#REF!+Summary!#REF!*7)</f>
        <v>#REF!</v>
      </c>
      <c r="AH21" s="104">
        <f>IF($B21&gt;assumptions!$F$59,assumptions!$D$60,assumptions!$D$59)</f>
        <v>9100</v>
      </c>
      <c r="AI21" s="65">
        <f>IF($B21&gt;assumptions!$F$59,assumptions!$D$56,assumptions!$D$55)</f>
        <v>0.13800000000000001</v>
      </c>
    </row>
    <row r="22" spans="1:35" x14ac:dyDescent="0.3">
      <c r="A22" s="1">
        <f t="shared" si="8"/>
        <v>16</v>
      </c>
      <c r="B22" s="17">
        <f t="shared" si="9"/>
        <v>105</v>
      </c>
      <c r="C22" s="107">
        <f t="shared" si="0"/>
        <v>1900</v>
      </c>
      <c r="D22" s="17">
        <f t="shared" si="2"/>
        <v>213</v>
      </c>
      <c r="E22" s="17" t="str">
        <f>IF(B22&lt;assumptions!$D$82,assumptions!$E$82,IF('Phased costs'!B22&lt;assumptions!$D$83,assumptions!$E$83,IF('Phased costs'!B22&lt;assumptions!$D$84,assumptions!$E$84,IF(B22&lt;assumptions!$D$85,assumptions!$E$85))))</f>
        <v>2024/25</v>
      </c>
      <c r="F22" s="17"/>
      <c r="G22" s="5">
        <f>+Summary!$D$7/52</f>
        <v>0</v>
      </c>
      <c r="H22" s="5">
        <f>IF((G22-AH22/52)&gt;0,('Phased costs'!G22-AH22/52)*AI22,0)</f>
        <v>0</v>
      </c>
      <c r="I22" s="5">
        <f t="shared" si="3"/>
        <v>0</v>
      </c>
      <c r="J22" s="3">
        <f>IF(B22&lt;assumptions!$E$52,assumptions!$D$51,assumptions!$D$52)</f>
        <v>0.22600000000000001</v>
      </c>
      <c r="K22" s="3">
        <f>IF(B22&lt;assumptions!$E$50,assumptions!$D$48,assumptions!$D$50)</f>
        <v>0.21099999999999999</v>
      </c>
      <c r="L22" s="3">
        <f>IF(B22&lt;assumptions!$E$53,0,assumptions!$D$53)</f>
        <v>0</v>
      </c>
      <c r="M22" s="5">
        <f>IF(Summary!$D$15="LGPS",'Phased costs'!J22*'Phased costs'!G22,IF(Summary!$D$15="USS",'Phased costs'!K22*'Phased costs'!G22,L22*'Phased costs'!G22))</f>
        <v>0</v>
      </c>
      <c r="N22" s="20">
        <f t="shared" si="4"/>
        <v>0</v>
      </c>
      <c r="O22" s="65">
        <f>VLOOKUP(Summary!$D$7,assumptions!$D$76:$E$78,2,TRUE)</f>
        <v>5.5E-2</v>
      </c>
      <c r="P22" s="65">
        <f>IF(B22&lt;assumptions!$E$48,assumptions!$D$73,assumptions!$D$75)</f>
        <v>9.6000000000000002E-2</v>
      </c>
      <c r="Q22" s="65">
        <f>assumptions!$E$79</f>
        <v>0.06</v>
      </c>
      <c r="R22" s="66">
        <f>IF(Summary!$D$15="LGPS",'Phased costs'!O22,IF(Summary!$D$15="USS",'Phased costs'!P22,Q22))*G22</f>
        <v>0</v>
      </c>
      <c r="S22" s="17" t="str">
        <f>IF(A22&lt;=Summary!$D$13,"L","")</f>
        <v/>
      </c>
      <c r="T22" s="5" t="str">
        <f>IF(OR(Summary!$D$18="SMP",Summary!$D$18="SAP"),VLOOKUP(A22,assumptions!$F$22:$G$24,2,TRUE),IF(OR(Summary!$D$18="OMP/OShPP",Summary!$D$18="OAP"),VLOOKUP('Phased costs'!A22,assumptions!$F$33:$G$36,2,TRUE),IF(Summary!$D$18="ShPP",VLOOKUP(A22,assumptions!$F$28:$G$29,2,TRUE),"n/a")))</f>
        <v>n/a</v>
      </c>
      <c r="U22" s="5">
        <f>IF(T22="n/a",0,IF((T22-AH22/52)&gt;0,('Phased costs'!T22-AH22/52)*AI22,0))</f>
        <v>0</v>
      </c>
      <c r="V22" s="5">
        <f t="shared" si="6"/>
        <v>0</v>
      </c>
      <c r="W22" s="3">
        <f>IF(B22&lt;assumptions!$E$52,assumptions!$D$51,assumptions!$D$52)</f>
        <v>0.22600000000000001</v>
      </c>
      <c r="X22" s="3">
        <f>IF(B22&lt;assumptions!$E$50,assumptions!$D$48,assumptions!$D$50)</f>
        <v>0.21099999999999999</v>
      </c>
      <c r="Y22" s="3">
        <f>IF(B22&lt;assumptions!$E$53,0,assumptions!$D$53)</f>
        <v>0</v>
      </c>
      <c r="Z22" s="66">
        <f>IF(T22="n/a",0,IF(T22&gt;0,(R22-IF(Summary!$D$15="LGPS",'Phased costs'!O22,IF(Summary!$D$15="USS",'Phased costs'!P22,Q22))*T22),0))</f>
        <v>0</v>
      </c>
      <c r="AA22" s="5">
        <f t="shared" si="7"/>
        <v>0</v>
      </c>
      <c r="AB22" s="20">
        <f>IF(T22="n/a",0,IF(Summary!$D$9="Shared Parental",VLOOKUP(A22,assumptions!$F$28:$G$29,2,TRUE)*-0.92,VLOOKUP(A22,assumptions!$F$22:$G$24,2,TRUE)*-0.92))</f>
        <v>0</v>
      </c>
      <c r="AC22" s="21">
        <f t="shared" si="5"/>
        <v>0</v>
      </c>
      <c r="AE22" s="5" t="e">
        <f>B22&gt;=Summary!#REF!</f>
        <v>#REF!</v>
      </c>
      <c r="AF22" s="5" t="e">
        <f>B22&lt;(Summary!#REF!+Summary!#REF!*7)</f>
        <v>#REF!</v>
      </c>
      <c r="AH22" s="104">
        <f>IF($B22&gt;assumptions!$F$59,assumptions!$D$60,assumptions!$D$59)</f>
        <v>9100</v>
      </c>
      <c r="AI22" s="65">
        <f>IF($B22&gt;assumptions!$F$59,assumptions!$D$56,assumptions!$D$55)</f>
        <v>0.13800000000000001</v>
      </c>
    </row>
    <row r="23" spans="1:35" x14ac:dyDescent="0.3">
      <c r="A23" s="1">
        <f t="shared" si="8"/>
        <v>17</v>
      </c>
      <c r="B23" s="17">
        <f t="shared" si="9"/>
        <v>112</v>
      </c>
      <c r="C23" s="107">
        <f t="shared" si="0"/>
        <v>1900</v>
      </c>
      <c r="D23" s="17">
        <f t="shared" si="2"/>
        <v>213</v>
      </c>
      <c r="E23" s="17" t="str">
        <f>IF(B23&lt;assumptions!$D$82,assumptions!$E$82,IF('Phased costs'!B23&lt;assumptions!$D$83,assumptions!$E$83,IF('Phased costs'!B23&lt;assumptions!$D$84,assumptions!$E$84,IF(B23&lt;assumptions!$D$85,assumptions!$E$85))))</f>
        <v>2024/25</v>
      </c>
      <c r="F23" s="17"/>
      <c r="G23" s="5">
        <f>+Summary!$D$7/52</f>
        <v>0</v>
      </c>
      <c r="H23" s="5">
        <f>IF((G23-AH23/52)&gt;0,('Phased costs'!G23-AH23/52)*AI23,0)</f>
        <v>0</v>
      </c>
      <c r="I23" s="5">
        <f t="shared" si="3"/>
        <v>0</v>
      </c>
      <c r="J23" s="3">
        <f>IF(B23&lt;assumptions!$E$52,assumptions!$D$51,assumptions!$D$52)</f>
        <v>0.22600000000000001</v>
      </c>
      <c r="K23" s="3">
        <f>IF(B23&lt;assumptions!$E$50,assumptions!$D$48,assumptions!$D$50)</f>
        <v>0.21099999999999999</v>
      </c>
      <c r="L23" s="3">
        <f>IF(B23&lt;assumptions!$E$53,0,assumptions!$D$53)</f>
        <v>0</v>
      </c>
      <c r="M23" s="5">
        <f>IF(Summary!$D$15="LGPS",'Phased costs'!J23*'Phased costs'!G23,IF(Summary!$D$15="USS",'Phased costs'!K23*'Phased costs'!G23,L23*'Phased costs'!G23))</f>
        <v>0</v>
      </c>
      <c r="N23" s="20">
        <f t="shared" si="4"/>
        <v>0</v>
      </c>
      <c r="O23" s="65">
        <f>VLOOKUP(Summary!$D$7,assumptions!$D$76:$E$78,2,TRUE)</f>
        <v>5.5E-2</v>
      </c>
      <c r="P23" s="65">
        <f>IF(B23&lt;assumptions!$E$48,assumptions!$D$73,assumptions!$D$75)</f>
        <v>9.6000000000000002E-2</v>
      </c>
      <c r="Q23" s="65">
        <f>assumptions!$E$79</f>
        <v>0.06</v>
      </c>
      <c r="R23" s="66">
        <f>IF(Summary!$D$15="LGPS",'Phased costs'!O23,IF(Summary!$D$15="USS",'Phased costs'!P23,Q23))*G23</f>
        <v>0</v>
      </c>
      <c r="S23" s="17" t="str">
        <f>IF(A23&lt;=Summary!$D$13,"L","")</f>
        <v/>
      </c>
      <c r="T23" s="5" t="str">
        <f>IF(OR(Summary!$D$18="SMP",Summary!$D$18="SAP"),VLOOKUP(A23,assumptions!$F$22:$G$24,2,TRUE),IF(OR(Summary!$D$18="OMP/OShPP",Summary!$D$18="OAP"),VLOOKUP('Phased costs'!A23,assumptions!$F$33:$G$36,2,TRUE),IF(Summary!$D$18="ShPP",VLOOKUP(A23,assumptions!$F$28:$G$29,2,TRUE),"n/a")))</f>
        <v>n/a</v>
      </c>
      <c r="U23" s="5">
        <f>IF(T23="n/a",0,IF((T23-AH23/52)&gt;0,('Phased costs'!T23-AH23/52)*AI23,0))</f>
        <v>0</v>
      </c>
      <c r="V23" s="5">
        <f t="shared" si="6"/>
        <v>0</v>
      </c>
      <c r="W23" s="3">
        <f>IF(B23&lt;assumptions!$E$52,assumptions!$D$51,assumptions!$D$52)</f>
        <v>0.22600000000000001</v>
      </c>
      <c r="X23" s="3">
        <f>IF(B23&lt;assumptions!$E$50,assumptions!$D$48,assumptions!$D$50)</f>
        <v>0.21099999999999999</v>
      </c>
      <c r="Y23" s="3">
        <f>IF(B23&lt;assumptions!$E$53,0,assumptions!$D$53)</f>
        <v>0</v>
      </c>
      <c r="Z23" s="66">
        <f>IF(T23="n/a",0,IF(T23&gt;0,(R23-IF(Summary!$D$15="LGPS",'Phased costs'!O23,IF(Summary!$D$15="USS",'Phased costs'!P23,Q23))*T23),0))</f>
        <v>0</v>
      </c>
      <c r="AA23" s="5">
        <f t="shared" si="7"/>
        <v>0</v>
      </c>
      <c r="AB23" s="20">
        <f>IF(T23="n/a",0,IF(Summary!$D$9="Shared Parental",VLOOKUP(A23,assumptions!$F$28:$G$29,2,TRUE)*-0.92,VLOOKUP(A23,assumptions!$F$22:$G$24,2,TRUE)*-0.92))</f>
        <v>0</v>
      </c>
      <c r="AC23" s="21">
        <f t="shared" si="5"/>
        <v>0</v>
      </c>
      <c r="AE23" s="5" t="e">
        <f>B23&gt;=Summary!#REF!</f>
        <v>#REF!</v>
      </c>
      <c r="AF23" s="5" t="e">
        <f>B23&lt;(Summary!#REF!+Summary!#REF!*7)</f>
        <v>#REF!</v>
      </c>
      <c r="AH23" s="104">
        <f>IF($B23&gt;assumptions!$F$59,assumptions!$D$60,assumptions!$D$59)</f>
        <v>9100</v>
      </c>
      <c r="AI23" s="65">
        <f>IF($B23&gt;assumptions!$F$59,assumptions!$D$56,assumptions!$D$55)</f>
        <v>0.13800000000000001</v>
      </c>
    </row>
    <row r="24" spans="1:35" x14ac:dyDescent="0.3">
      <c r="A24" s="1">
        <f t="shared" si="8"/>
        <v>18</v>
      </c>
      <c r="B24" s="17">
        <f t="shared" si="9"/>
        <v>119</v>
      </c>
      <c r="C24" s="107">
        <f t="shared" si="0"/>
        <v>1900</v>
      </c>
      <c r="D24" s="17">
        <f t="shared" si="2"/>
        <v>213</v>
      </c>
      <c r="E24" s="17" t="str">
        <f>IF(B24&lt;assumptions!$D$82,assumptions!$E$82,IF('Phased costs'!B24&lt;assumptions!$D$83,assumptions!$E$83,IF('Phased costs'!B24&lt;assumptions!$D$84,assumptions!$E$84,IF(B24&lt;assumptions!$D$85,assumptions!$E$85))))</f>
        <v>2024/25</v>
      </c>
      <c r="F24" s="17"/>
      <c r="G24" s="5">
        <f>+Summary!$D$7/52</f>
        <v>0</v>
      </c>
      <c r="H24" s="5">
        <f>IF((G24-AH24/52)&gt;0,('Phased costs'!G24-AH24/52)*AI24,0)</f>
        <v>0</v>
      </c>
      <c r="I24" s="5">
        <f t="shared" si="3"/>
        <v>0</v>
      </c>
      <c r="J24" s="3">
        <f>IF(B24&lt;assumptions!$E$52,assumptions!$D$51,assumptions!$D$52)</f>
        <v>0.22600000000000001</v>
      </c>
      <c r="K24" s="3">
        <f>IF(B24&lt;assumptions!$E$50,assumptions!$D$48,assumptions!$D$50)</f>
        <v>0.21099999999999999</v>
      </c>
      <c r="L24" s="3">
        <f>IF(B24&lt;assumptions!$E$53,0,assumptions!$D$53)</f>
        <v>0</v>
      </c>
      <c r="M24" s="5">
        <f>IF(Summary!$D$15="LGPS",'Phased costs'!J24*'Phased costs'!G24,IF(Summary!$D$15="USS",'Phased costs'!K24*'Phased costs'!G24,L24*'Phased costs'!G24))</f>
        <v>0</v>
      </c>
      <c r="N24" s="20">
        <f t="shared" si="4"/>
        <v>0</v>
      </c>
      <c r="O24" s="65">
        <f>VLOOKUP(Summary!$D$7,assumptions!$D$76:$E$78,2,TRUE)</f>
        <v>5.5E-2</v>
      </c>
      <c r="P24" s="65">
        <f>IF(B24&lt;assumptions!$E$48,assumptions!$D$73,assumptions!$D$75)</f>
        <v>9.6000000000000002E-2</v>
      </c>
      <c r="Q24" s="65">
        <f>assumptions!$E$79</f>
        <v>0.06</v>
      </c>
      <c r="R24" s="66">
        <f>IF(Summary!$D$15="LGPS",'Phased costs'!O24,IF(Summary!$D$15="USS",'Phased costs'!P24,Q24))*G24</f>
        <v>0</v>
      </c>
      <c r="S24" s="17" t="str">
        <f>IF(A24&lt;=Summary!$D$13,"L","")</f>
        <v/>
      </c>
      <c r="T24" s="5" t="str">
        <f>IF(OR(Summary!$D$18="SMP",Summary!$D$18="SAP"),VLOOKUP(A24,assumptions!$F$22:$G$24,2,TRUE),IF(OR(Summary!$D$18="OMP/OShPP",Summary!$D$18="OAP"),VLOOKUP('Phased costs'!A24,assumptions!$F$33:$G$36,2,TRUE),IF(Summary!$D$18="ShPP",VLOOKUP(A24,assumptions!$F$28:$G$29,2,TRUE),"n/a")))</f>
        <v>n/a</v>
      </c>
      <c r="U24" s="5">
        <f>IF(T24="n/a",0,IF((T24-AH24/52)&gt;0,('Phased costs'!T24-AH24/52)*AI24,0))</f>
        <v>0</v>
      </c>
      <c r="V24" s="5">
        <f t="shared" si="6"/>
        <v>0</v>
      </c>
      <c r="W24" s="3">
        <f>IF(B24&lt;assumptions!$E$52,assumptions!$D$51,assumptions!$D$52)</f>
        <v>0.22600000000000001</v>
      </c>
      <c r="X24" s="3">
        <f>IF(B24&lt;assumptions!$E$50,assumptions!$D$48,assumptions!$D$50)</f>
        <v>0.21099999999999999</v>
      </c>
      <c r="Y24" s="3">
        <f>IF(B24&lt;assumptions!$E$53,0,assumptions!$D$53)</f>
        <v>0</v>
      </c>
      <c r="Z24" s="66">
        <f>IF(T24="n/a",0,IF(T24&gt;0,(R24-IF(Summary!$D$15="LGPS",'Phased costs'!O24,IF(Summary!$D$15="USS",'Phased costs'!P24,Q24))*T24),0))</f>
        <v>0</v>
      </c>
      <c r="AA24" s="5">
        <f t="shared" si="7"/>
        <v>0</v>
      </c>
      <c r="AB24" s="20">
        <f>IF(T24="n/a",0,IF(Summary!$D$9="Shared Parental",VLOOKUP(A24,assumptions!$F$28:$G$29,2,TRUE)*-0.92,VLOOKUP(A24,assumptions!$F$22:$G$24,2,TRUE)*-0.92))</f>
        <v>0</v>
      </c>
      <c r="AC24" s="21">
        <f t="shared" si="5"/>
        <v>0</v>
      </c>
      <c r="AE24" s="5" t="e">
        <f>B24&gt;=Summary!#REF!</f>
        <v>#REF!</v>
      </c>
      <c r="AF24" s="5" t="e">
        <f>B24&lt;(Summary!#REF!+Summary!#REF!*7)</f>
        <v>#REF!</v>
      </c>
      <c r="AH24" s="104">
        <f>IF($B24&gt;assumptions!$F$59,assumptions!$D$60,assumptions!$D$59)</f>
        <v>9100</v>
      </c>
      <c r="AI24" s="65">
        <f>IF($B24&gt;assumptions!$F$59,assumptions!$D$56,assumptions!$D$55)</f>
        <v>0.13800000000000001</v>
      </c>
    </row>
    <row r="25" spans="1:35" x14ac:dyDescent="0.3">
      <c r="A25" s="1">
        <f t="shared" si="8"/>
        <v>19</v>
      </c>
      <c r="B25" s="17">
        <f t="shared" si="9"/>
        <v>126</v>
      </c>
      <c r="C25" s="107">
        <f t="shared" si="0"/>
        <v>1900</v>
      </c>
      <c r="D25" s="17">
        <f t="shared" si="2"/>
        <v>213</v>
      </c>
      <c r="E25" s="17" t="str">
        <f>IF(B25&lt;assumptions!$D$82,assumptions!$E$82,IF('Phased costs'!B25&lt;assumptions!$D$83,assumptions!$E$83,IF('Phased costs'!B25&lt;assumptions!$D$84,assumptions!$E$84,IF(B25&lt;assumptions!$D$85,assumptions!$E$85))))</f>
        <v>2024/25</v>
      </c>
      <c r="F25" s="17"/>
      <c r="G25" s="5">
        <f>+Summary!$D$7/52</f>
        <v>0</v>
      </c>
      <c r="H25" s="5">
        <f>IF((G25-AH25/52)&gt;0,('Phased costs'!G25-AH25/52)*AI25,0)</f>
        <v>0</v>
      </c>
      <c r="I25" s="5">
        <f t="shared" si="3"/>
        <v>0</v>
      </c>
      <c r="J25" s="3">
        <f>IF(B25&lt;assumptions!$E$52,assumptions!$D$51,assumptions!$D$52)</f>
        <v>0.22600000000000001</v>
      </c>
      <c r="K25" s="3">
        <f>IF(B25&lt;assumptions!$E$50,assumptions!$D$48,assumptions!$D$50)</f>
        <v>0.21099999999999999</v>
      </c>
      <c r="L25" s="3">
        <f>IF(B25&lt;assumptions!$E$53,0,assumptions!$D$53)</f>
        <v>0</v>
      </c>
      <c r="M25" s="5">
        <f>IF(Summary!$D$15="LGPS",'Phased costs'!J25*'Phased costs'!G25,IF(Summary!$D$15="USS",'Phased costs'!K25*'Phased costs'!G25,L25*'Phased costs'!G25))</f>
        <v>0</v>
      </c>
      <c r="N25" s="20">
        <f t="shared" si="4"/>
        <v>0</v>
      </c>
      <c r="O25" s="65">
        <f>VLOOKUP(Summary!$D$7,assumptions!$D$76:$E$78,2,TRUE)</f>
        <v>5.5E-2</v>
      </c>
      <c r="P25" s="65">
        <f>IF(B25&lt;assumptions!$E$48,assumptions!$D$73,assumptions!$D$75)</f>
        <v>9.6000000000000002E-2</v>
      </c>
      <c r="Q25" s="65">
        <f>assumptions!$E$79</f>
        <v>0.06</v>
      </c>
      <c r="R25" s="66">
        <f>IF(Summary!$D$15="LGPS",'Phased costs'!O25,IF(Summary!$D$15="USS",'Phased costs'!P25,Q25))*G25</f>
        <v>0</v>
      </c>
      <c r="S25" s="17" t="str">
        <f>IF(A25&lt;=Summary!$D$13,"L","")</f>
        <v/>
      </c>
      <c r="T25" s="5" t="str">
        <f>IF(OR(Summary!$D$18="SMP",Summary!$D$18="SAP"),VLOOKUP(A25,assumptions!$F$22:$G$24,2,TRUE),IF(OR(Summary!$D$18="OMP/OShPP",Summary!$D$18="OAP"),VLOOKUP('Phased costs'!A25,assumptions!$F$33:$G$36,2,TRUE),IF(Summary!$D$18="ShPP",VLOOKUP(A25,assumptions!$F$28:$G$29,2,TRUE),"n/a")))</f>
        <v>n/a</v>
      </c>
      <c r="U25" s="5">
        <f>IF(T25="n/a",0,IF((T25-AH25/52)&gt;0,('Phased costs'!T25-AH25/52)*AI25,0))</f>
        <v>0</v>
      </c>
      <c r="V25" s="5">
        <f t="shared" si="6"/>
        <v>0</v>
      </c>
      <c r="W25" s="3">
        <f>IF(B25&lt;assumptions!$E$52,assumptions!$D$51,assumptions!$D$52)</f>
        <v>0.22600000000000001</v>
      </c>
      <c r="X25" s="3">
        <f>IF(B25&lt;assumptions!$E$50,assumptions!$D$48,assumptions!$D$50)</f>
        <v>0.21099999999999999</v>
      </c>
      <c r="Y25" s="3">
        <f>IF(B25&lt;assumptions!$E$53,0,assumptions!$D$53)</f>
        <v>0</v>
      </c>
      <c r="Z25" s="66">
        <f>IF(T25="n/a",0,IF(T25&gt;0,(R25-IF(Summary!$D$15="LGPS",'Phased costs'!O25,IF(Summary!$D$15="USS",'Phased costs'!P25,Q25))*T25),0))</f>
        <v>0</v>
      </c>
      <c r="AA25" s="5">
        <f t="shared" si="7"/>
        <v>0</v>
      </c>
      <c r="AB25" s="20">
        <f>IF(T25="n/a",0,IF(Summary!$D$9="Shared Parental",VLOOKUP(A25,assumptions!$F$28:$G$29,2,TRUE)*-0.92,VLOOKUP(A25,assumptions!$F$22:$G$24,2,TRUE)*-0.92))</f>
        <v>0</v>
      </c>
      <c r="AC25" s="21">
        <f t="shared" si="5"/>
        <v>0</v>
      </c>
      <c r="AE25" s="5" t="e">
        <f>B25&gt;=Summary!#REF!</f>
        <v>#REF!</v>
      </c>
      <c r="AF25" s="5" t="e">
        <f>B25&lt;(Summary!#REF!+Summary!#REF!*7)</f>
        <v>#REF!</v>
      </c>
      <c r="AH25" s="104">
        <f>IF($B25&gt;assumptions!$F$59,assumptions!$D$60,assumptions!$D$59)</f>
        <v>9100</v>
      </c>
      <c r="AI25" s="65">
        <f>IF($B25&gt;assumptions!$F$59,assumptions!$D$56,assumptions!$D$55)</f>
        <v>0.13800000000000001</v>
      </c>
    </row>
    <row r="26" spans="1:35" x14ac:dyDescent="0.3">
      <c r="A26" s="1">
        <f t="shared" si="8"/>
        <v>20</v>
      </c>
      <c r="B26" s="17">
        <f t="shared" si="9"/>
        <v>133</v>
      </c>
      <c r="C26" s="107">
        <f t="shared" si="0"/>
        <v>1900</v>
      </c>
      <c r="D26" s="17">
        <f t="shared" si="2"/>
        <v>213</v>
      </c>
      <c r="E26" s="17" t="str">
        <f>IF(B26&lt;assumptions!$D$82,assumptions!$E$82,IF('Phased costs'!B26&lt;assumptions!$D$83,assumptions!$E$83,IF('Phased costs'!B26&lt;assumptions!$D$84,assumptions!$E$84,IF(B26&lt;assumptions!$D$85,assumptions!$E$85))))</f>
        <v>2024/25</v>
      </c>
      <c r="F26" s="17"/>
      <c r="G26" s="5">
        <f>+Summary!$D$7/52</f>
        <v>0</v>
      </c>
      <c r="H26" s="5">
        <f>IF((G26-AH26/52)&gt;0,('Phased costs'!G26-AH26/52)*AI26,0)</f>
        <v>0</v>
      </c>
      <c r="I26" s="5">
        <f t="shared" si="3"/>
        <v>0</v>
      </c>
      <c r="J26" s="3">
        <f>IF(B26&lt;assumptions!$E$52,assumptions!$D$51,assumptions!$D$52)</f>
        <v>0.22600000000000001</v>
      </c>
      <c r="K26" s="3">
        <f>IF(B26&lt;assumptions!$E$50,assumptions!$D$48,assumptions!$D$50)</f>
        <v>0.21099999999999999</v>
      </c>
      <c r="L26" s="3">
        <f>IF(B26&lt;assumptions!$E$53,0,assumptions!$D$53)</f>
        <v>0</v>
      </c>
      <c r="M26" s="5">
        <f>IF(Summary!$D$15="LGPS",'Phased costs'!J26*'Phased costs'!G26,IF(Summary!$D$15="USS",'Phased costs'!K26*'Phased costs'!G26,L26*'Phased costs'!G26))</f>
        <v>0</v>
      </c>
      <c r="N26" s="20">
        <f t="shared" si="4"/>
        <v>0</v>
      </c>
      <c r="O26" s="65">
        <f>VLOOKUP(Summary!$D$7,assumptions!$D$76:$E$78,2,TRUE)</f>
        <v>5.5E-2</v>
      </c>
      <c r="P26" s="65">
        <f>IF(B26&lt;assumptions!$E$48,assumptions!$D$73,assumptions!$D$75)</f>
        <v>9.6000000000000002E-2</v>
      </c>
      <c r="Q26" s="65">
        <f>assumptions!$E$79</f>
        <v>0.06</v>
      </c>
      <c r="R26" s="66">
        <f>IF(Summary!$D$15="LGPS",'Phased costs'!O26,IF(Summary!$D$15="USS",'Phased costs'!P26,Q26))*G26</f>
        <v>0</v>
      </c>
      <c r="S26" s="17" t="str">
        <f>IF(A26&lt;=Summary!$D$13,"L","")</f>
        <v/>
      </c>
      <c r="T26" s="5" t="str">
        <f>IF(OR(Summary!$D$18="SMP",Summary!$D$18="SAP"),VLOOKUP(A26,assumptions!$F$22:$G$24,2,TRUE),IF(OR(Summary!$D$18="OMP/OShPP",Summary!$D$18="OAP"),VLOOKUP('Phased costs'!A26,assumptions!$F$33:$G$36,2,TRUE),IF(Summary!$D$18="ShPP",VLOOKUP(A26,assumptions!$F$28:$G$29,2,TRUE),"n/a")))</f>
        <v>n/a</v>
      </c>
      <c r="U26" s="5">
        <f>IF(T26="n/a",0,IF((T26-AH26/52)&gt;0,('Phased costs'!T26-AH26/52)*AI26,0))</f>
        <v>0</v>
      </c>
      <c r="V26" s="5">
        <f t="shared" si="6"/>
        <v>0</v>
      </c>
      <c r="W26" s="3">
        <f>IF(B26&lt;assumptions!$E$52,assumptions!$D$51,assumptions!$D$52)</f>
        <v>0.22600000000000001</v>
      </c>
      <c r="X26" s="3">
        <f>IF(B26&lt;assumptions!$E$50,assumptions!$D$48,assumptions!$D$50)</f>
        <v>0.21099999999999999</v>
      </c>
      <c r="Y26" s="3">
        <f>IF(B26&lt;assumptions!$E$53,0,assumptions!$D$53)</f>
        <v>0</v>
      </c>
      <c r="Z26" s="66">
        <f>IF(T26="n/a",0,IF(T26&gt;0,(R26-IF(Summary!$D$15="LGPS",'Phased costs'!O26,IF(Summary!$D$15="USS",'Phased costs'!P26,Q26))*T26),0))</f>
        <v>0</v>
      </c>
      <c r="AA26" s="5">
        <f t="shared" si="7"/>
        <v>0</v>
      </c>
      <c r="AB26" s="20">
        <f>IF(T26="n/a",0,IF(Summary!$D$9="Shared Parental",VLOOKUP(A26,assumptions!$F$28:$G$29,2,TRUE)*-0.92,VLOOKUP(A26,assumptions!$F$22:$G$24,2,TRUE)*-0.92))</f>
        <v>0</v>
      </c>
      <c r="AC26" s="21">
        <f t="shared" si="5"/>
        <v>0</v>
      </c>
      <c r="AE26" s="5" t="e">
        <f>B26&gt;=Summary!#REF!</f>
        <v>#REF!</v>
      </c>
      <c r="AF26" s="5" t="e">
        <f>B26&lt;(Summary!#REF!+Summary!#REF!*7)</f>
        <v>#REF!</v>
      </c>
      <c r="AH26" s="104">
        <f>IF($B26&gt;assumptions!$F$59,assumptions!$D$60,assumptions!$D$59)</f>
        <v>9100</v>
      </c>
      <c r="AI26" s="65">
        <f>IF($B26&gt;assumptions!$F$59,assumptions!$D$56,assumptions!$D$55)</f>
        <v>0.13800000000000001</v>
      </c>
    </row>
    <row r="27" spans="1:35" x14ac:dyDescent="0.3">
      <c r="A27" s="1">
        <f t="shared" si="8"/>
        <v>21</v>
      </c>
      <c r="B27" s="17">
        <f t="shared" si="9"/>
        <v>140</v>
      </c>
      <c r="C27" s="107">
        <f t="shared" si="0"/>
        <v>1900</v>
      </c>
      <c r="D27" s="17">
        <f t="shared" si="2"/>
        <v>213</v>
      </c>
      <c r="E27" s="17" t="str">
        <f>IF(B27&lt;assumptions!$D$82,assumptions!$E$82,IF('Phased costs'!B27&lt;assumptions!$D$83,assumptions!$E$83,IF('Phased costs'!B27&lt;assumptions!$D$84,assumptions!$E$84,IF(B27&lt;assumptions!$D$85,assumptions!$E$85))))</f>
        <v>2024/25</v>
      </c>
      <c r="F27" s="17"/>
      <c r="G27" s="5">
        <f>+Summary!$D$7/52</f>
        <v>0</v>
      </c>
      <c r="H27" s="5">
        <f>IF((G27-AH27/52)&gt;0,('Phased costs'!G27-AH27/52)*AI27,0)</f>
        <v>0</v>
      </c>
      <c r="I27" s="5">
        <f t="shared" si="3"/>
        <v>0</v>
      </c>
      <c r="J27" s="3">
        <f>IF(B27&lt;assumptions!$E$52,assumptions!$D$51,assumptions!$D$52)</f>
        <v>0.22600000000000001</v>
      </c>
      <c r="K27" s="3">
        <f>IF(B27&lt;assumptions!$E$50,assumptions!$D$48,assumptions!$D$50)</f>
        <v>0.21099999999999999</v>
      </c>
      <c r="L27" s="3">
        <f>IF(B27&lt;assumptions!$E$53,0,assumptions!$D$53)</f>
        <v>0</v>
      </c>
      <c r="M27" s="5">
        <f>IF(Summary!$D$15="LGPS",'Phased costs'!J27*'Phased costs'!G27,IF(Summary!$D$15="USS",'Phased costs'!K27*'Phased costs'!G27,L27*'Phased costs'!G27))</f>
        <v>0</v>
      </c>
      <c r="N27" s="20">
        <f t="shared" si="4"/>
        <v>0</v>
      </c>
      <c r="O27" s="65">
        <f>VLOOKUP(Summary!$D$7,assumptions!$D$76:$E$78,2,TRUE)</f>
        <v>5.5E-2</v>
      </c>
      <c r="P27" s="65">
        <f>IF(B27&lt;assumptions!$E$48,assumptions!$D$73,assumptions!$D$75)</f>
        <v>9.6000000000000002E-2</v>
      </c>
      <c r="Q27" s="65">
        <f>assumptions!$E$79</f>
        <v>0.06</v>
      </c>
      <c r="R27" s="66">
        <f>IF(Summary!$D$15="LGPS",'Phased costs'!O27,IF(Summary!$D$15="USS",'Phased costs'!P27,Q27))*G27</f>
        <v>0</v>
      </c>
      <c r="S27" s="17" t="str">
        <f>IF(A27&lt;=Summary!$D$13,"L","")</f>
        <v/>
      </c>
      <c r="T27" s="5" t="str">
        <f>IF(OR(Summary!$D$18="SMP",Summary!$D$18="SAP"),VLOOKUP(A27,assumptions!$F$22:$G$24,2,TRUE),IF(OR(Summary!$D$18="OMP/OShPP",Summary!$D$18="OAP"),VLOOKUP('Phased costs'!A27,assumptions!$F$33:$G$36,2,TRUE),IF(Summary!$D$18="ShPP",VLOOKUP(A27,assumptions!$F$28:$G$29,2,TRUE),"n/a")))</f>
        <v>n/a</v>
      </c>
      <c r="U27" s="5">
        <f>IF(T27="n/a",0,IF((T27-AH27/52)&gt;0,('Phased costs'!T27-AH27/52)*AI27,0))</f>
        <v>0</v>
      </c>
      <c r="V27" s="5">
        <f t="shared" si="6"/>
        <v>0</v>
      </c>
      <c r="W27" s="3">
        <f>IF(B27&lt;assumptions!$E$52,assumptions!$D$51,assumptions!$D$52)</f>
        <v>0.22600000000000001</v>
      </c>
      <c r="X27" s="3">
        <f>IF(B27&lt;assumptions!$E$50,assumptions!$D$48,assumptions!$D$50)</f>
        <v>0.21099999999999999</v>
      </c>
      <c r="Y27" s="3">
        <f>IF(B27&lt;assumptions!$E$53,0,assumptions!$D$53)</f>
        <v>0</v>
      </c>
      <c r="Z27" s="66">
        <f>IF(T27="n/a",0,IF(T27&gt;0,(R27-IF(Summary!$D$15="LGPS",'Phased costs'!O27,IF(Summary!$D$15="USS",'Phased costs'!P27,Q27))*T27),0))</f>
        <v>0</v>
      </c>
      <c r="AA27" s="5">
        <f t="shared" si="7"/>
        <v>0</v>
      </c>
      <c r="AB27" s="20">
        <f>IF(T27="n/a",0,IF(Summary!$D$9="Shared Parental",VLOOKUP(A27,assumptions!$F$28:$G$29,2,TRUE)*-0.92,VLOOKUP(A27,assumptions!$F$22:$G$24,2,TRUE)*-0.92))</f>
        <v>0</v>
      </c>
      <c r="AC27" s="21">
        <f t="shared" si="5"/>
        <v>0</v>
      </c>
      <c r="AE27" s="5" t="e">
        <f>B27&gt;=Summary!#REF!</f>
        <v>#REF!</v>
      </c>
      <c r="AF27" s="5" t="e">
        <f>B27&lt;(Summary!#REF!+Summary!#REF!*7)</f>
        <v>#REF!</v>
      </c>
      <c r="AH27" s="104">
        <f>IF($B27&gt;assumptions!$F$59,assumptions!$D$60,assumptions!$D$59)</f>
        <v>9100</v>
      </c>
      <c r="AI27" s="65">
        <f>IF($B27&gt;assumptions!$F$59,assumptions!$D$56,assumptions!$D$55)</f>
        <v>0.13800000000000001</v>
      </c>
    </row>
    <row r="28" spans="1:35" x14ac:dyDescent="0.3">
      <c r="A28" s="1">
        <f t="shared" si="8"/>
        <v>22</v>
      </c>
      <c r="B28" s="17">
        <f t="shared" si="9"/>
        <v>147</v>
      </c>
      <c r="C28" s="107">
        <f t="shared" si="0"/>
        <v>1900</v>
      </c>
      <c r="D28" s="17">
        <f t="shared" si="2"/>
        <v>213</v>
      </c>
      <c r="E28" s="17" t="str">
        <f>IF(B28&lt;assumptions!$D$82,assumptions!$E$82,IF('Phased costs'!B28&lt;assumptions!$D$83,assumptions!$E$83,IF('Phased costs'!B28&lt;assumptions!$D$84,assumptions!$E$84,IF(B28&lt;assumptions!$D$85,assumptions!$E$85))))</f>
        <v>2024/25</v>
      </c>
      <c r="F28" s="17"/>
      <c r="G28" s="5">
        <f>+Summary!$D$7/52</f>
        <v>0</v>
      </c>
      <c r="H28" s="5">
        <f>IF((G28-AH28/52)&gt;0,('Phased costs'!G28-AH28/52)*AI28,0)</f>
        <v>0</v>
      </c>
      <c r="I28" s="5">
        <f t="shared" si="3"/>
        <v>0</v>
      </c>
      <c r="J28" s="3">
        <f>IF(B28&lt;assumptions!$E$52,assumptions!$D$51,assumptions!$D$52)</f>
        <v>0.22600000000000001</v>
      </c>
      <c r="K28" s="3">
        <f>IF(B28&lt;assumptions!$E$50,assumptions!$D$48,assumptions!$D$50)</f>
        <v>0.21099999999999999</v>
      </c>
      <c r="L28" s="3">
        <f>IF(B28&lt;assumptions!$E$53,0,assumptions!$D$53)</f>
        <v>0</v>
      </c>
      <c r="M28" s="5">
        <f>IF(Summary!$D$15="LGPS",'Phased costs'!J28*'Phased costs'!G28,IF(Summary!$D$15="USS",'Phased costs'!K28*'Phased costs'!G28,L28*'Phased costs'!G28))</f>
        <v>0</v>
      </c>
      <c r="N28" s="20">
        <f t="shared" si="4"/>
        <v>0</v>
      </c>
      <c r="O28" s="65">
        <f>VLOOKUP(Summary!$D$7,assumptions!$D$76:$E$78,2,TRUE)</f>
        <v>5.5E-2</v>
      </c>
      <c r="P28" s="65">
        <f>IF(B28&lt;assumptions!$E$48,assumptions!$D$73,assumptions!$D$75)</f>
        <v>9.6000000000000002E-2</v>
      </c>
      <c r="Q28" s="65">
        <f>assumptions!$E$79</f>
        <v>0.06</v>
      </c>
      <c r="R28" s="66">
        <f>IF(Summary!$D$15="LGPS",'Phased costs'!O28,IF(Summary!$D$15="USS",'Phased costs'!P28,Q28))*G28</f>
        <v>0</v>
      </c>
      <c r="S28" s="17" t="str">
        <f>IF(A28&lt;=Summary!$D$13,"L","")</f>
        <v/>
      </c>
      <c r="T28" s="5" t="str">
        <f>IF(OR(Summary!$D$18="SMP",Summary!$D$18="SAP"),VLOOKUP(A28,assumptions!$F$22:$G$24,2,TRUE),IF(OR(Summary!$D$18="OMP/OShPP",Summary!$D$18="OAP"),VLOOKUP('Phased costs'!A28,assumptions!$F$33:$G$36,2,TRUE),IF(Summary!$D$18="ShPP",VLOOKUP(A28,assumptions!$F$28:$G$29,2,TRUE),"n/a")))</f>
        <v>n/a</v>
      </c>
      <c r="U28" s="5">
        <f>IF(T28="n/a",0,IF((T28-AH28/52)&gt;0,('Phased costs'!T28-AH28/52)*AI28,0))</f>
        <v>0</v>
      </c>
      <c r="V28" s="5">
        <f t="shared" si="6"/>
        <v>0</v>
      </c>
      <c r="W28" s="3">
        <f>IF(B28&lt;assumptions!$E$52,assumptions!$D$51,assumptions!$D$52)</f>
        <v>0.22600000000000001</v>
      </c>
      <c r="X28" s="3">
        <f>IF(B28&lt;assumptions!$E$50,assumptions!$D$48,assumptions!$D$50)</f>
        <v>0.21099999999999999</v>
      </c>
      <c r="Y28" s="3">
        <f>IF(B28&lt;assumptions!$E$53,0,assumptions!$D$53)</f>
        <v>0</v>
      </c>
      <c r="Z28" s="66">
        <f>IF(T28="n/a",0,IF(T28&gt;0,(R28-IF(Summary!$D$15="LGPS",'Phased costs'!O28,IF(Summary!$D$15="USS",'Phased costs'!P28,Q28))*T28),0))</f>
        <v>0</v>
      </c>
      <c r="AA28" s="5">
        <f t="shared" si="7"/>
        <v>0</v>
      </c>
      <c r="AB28" s="20">
        <f>IF(T28="n/a",0,IF(Summary!$D$9="Shared Parental",VLOOKUP(A28,assumptions!$F$28:$G$29,2,TRUE)*-0.92,VLOOKUP(A28,assumptions!$F$22:$G$24,2,TRUE)*-0.92))</f>
        <v>0</v>
      </c>
      <c r="AC28" s="21">
        <f t="shared" si="5"/>
        <v>0</v>
      </c>
      <c r="AE28" s="5" t="e">
        <f>B28&gt;=Summary!#REF!</f>
        <v>#REF!</v>
      </c>
      <c r="AF28" s="5" t="e">
        <f>B28&lt;(Summary!#REF!+Summary!#REF!*7)</f>
        <v>#REF!</v>
      </c>
      <c r="AH28" s="104">
        <f>IF($B28&gt;assumptions!$F$59,assumptions!$D$60,assumptions!$D$59)</f>
        <v>9100</v>
      </c>
      <c r="AI28" s="65">
        <f>IF($B28&gt;assumptions!$F$59,assumptions!$D$56,assumptions!$D$55)</f>
        <v>0.13800000000000001</v>
      </c>
    </row>
    <row r="29" spans="1:35" x14ac:dyDescent="0.3">
      <c r="A29" s="1">
        <f t="shared" si="8"/>
        <v>23</v>
      </c>
      <c r="B29" s="17">
        <f t="shared" si="9"/>
        <v>154</v>
      </c>
      <c r="C29" s="107">
        <f t="shared" si="0"/>
        <v>1900</v>
      </c>
      <c r="D29" s="17">
        <f t="shared" si="2"/>
        <v>213</v>
      </c>
      <c r="E29" s="17" t="str">
        <f>IF(B29&lt;assumptions!$D$82,assumptions!$E$82,IF('Phased costs'!B29&lt;assumptions!$D$83,assumptions!$E$83,IF('Phased costs'!B29&lt;assumptions!$D$84,assumptions!$E$84,IF(B29&lt;assumptions!$D$85,assumptions!$E$85))))</f>
        <v>2024/25</v>
      </c>
      <c r="F29" s="17"/>
      <c r="G29" s="5">
        <f>+Summary!$D$7/52</f>
        <v>0</v>
      </c>
      <c r="H29" s="5">
        <f>IF((G29-AH29/52)&gt;0,('Phased costs'!G29-AH29/52)*AI29,0)</f>
        <v>0</v>
      </c>
      <c r="I29" s="5">
        <f t="shared" si="3"/>
        <v>0</v>
      </c>
      <c r="J29" s="3">
        <f>IF(B29&lt;assumptions!$E$52,assumptions!$D$51,assumptions!$D$52)</f>
        <v>0.22600000000000001</v>
      </c>
      <c r="K29" s="3">
        <f>IF(B29&lt;assumptions!$E$50,assumptions!$D$48,assumptions!$D$50)</f>
        <v>0.21099999999999999</v>
      </c>
      <c r="L29" s="3">
        <f>IF(B29&lt;assumptions!$E$53,0,assumptions!$D$53)</f>
        <v>0</v>
      </c>
      <c r="M29" s="5">
        <f>IF(Summary!$D$15="LGPS",'Phased costs'!J29*'Phased costs'!G29,IF(Summary!$D$15="USS",'Phased costs'!K29*'Phased costs'!G29,L29*'Phased costs'!G29))</f>
        <v>0</v>
      </c>
      <c r="N29" s="20">
        <f t="shared" si="4"/>
        <v>0</v>
      </c>
      <c r="O29" s="65">
        <f>VLOOKUP(Summary!$D$7,assumptions!$D$76:$E$78,2,TRUE)</f>
        <v>5.5E-2</v>
      </c>
      <c r="P29" s="65">
        <f>IF(B29&lt;assumptions!$E$48,assumptions!$D$73,assumptions!$D$75)</f>
        <v>9.6000000000000002E-2</v>
      </c>
      <c r="Q29" s="65">
        <f>assumptions!$E$79</f>
        <v>0.06</v>
      </c>
      <c r="R29" s="66">
        <f>IF(Summary!$D$15="LGPS",'Phased costs'!O29,IF(Summary!$D$15="USS",'Phased costs'!P29,Q29))*G29</f>
        <v>0</v>
      </c>
      <c r="S29" s="17" t="str">
        <f>IF(A29&lt;=Summary!$D$13,"L","")</f>
        <v/>
      </c>
      <c r="T29" s="5" t="str">
        <f>IF(OR(Summary!$D$18="SMP",Summary!$D$18="SAP"),VLOOKUP(A29,assumptions!$F$22:$G$24,2,TRUE),IF(OR(Summary!$D$18="OMP/OShPP",Summary!$D$18="OAP"),VLOOKUP('Phased costs'!A29,assumptions!$F$33:$G$36,2,TRUE),IF(Summary!$D$18="ShPP",VLOOKUP(A29,assumptions!$F$28:$G$29,2,TRUE),"n/a")))</f>
        <v>n/a</v>
      </c>
      <c r="U29" s="5">
        <f>IF(T29="n/a",0,IF((T29-AH29/52)&gt;0,('Phased costs'!T29-AH29/52)*AI29,0))</f>
        <v>0</v>
      </c>
      <c r="V29" s="5">
        <f t="shared" si="6"/>
        <v>0</v>
      </c>
      <c r="W29" s="3">
        <f>IF(B29&lt;assumptions!$E$52,assumptions!$D$51,assumptions!$D$52)</f>
        <v>0.22600000000000001</v>
      </c>
      <c r="X29" s="3">
        <f>IF(B29&lt;assumptions!$E$50,assumptions!$D$48,assumptions!$D$50)</f>
        <v>0.21099999999999999</v>
      </c>
      <c r="Y29" s="3">
        <f>IF(B29&lt;assumptions!$E$53,0,assumptions!$D$53)</f>
        <v>0</v>
      </c>
      <c r="Z29" s="66">
        <f>IF(T29="n/a",0,IF(T29&gt;0,(R29-IF(Summary!$D$15="LGPS",'Phased costs'!O29,IF(Summary!$D$15="USS",'Phased costs'!P29,Q29))*T29),0))</f>
        <v>0</v>
      </c>
      <c r="AA29" s="5">
        <f t="shared" si="7"/>
        <v>0</v>
      </c>
      <c r="AB29" s="20">
        <f>IF(T29="n/a",0,IF(Summary!$D$9="Shared Parental",VLOOKUP(A29,assumptions!$F$28:$G$29,2,TRUE)*-0.92,VLOOKUP(A29,assumptions!$F$22:$G$24,2,TRUE)*-0.92))</f>
        <v>0</v>
      </c>
      <c r="AC29" s="21">
        <f t="shared" si="5"/>
        <v>0</v>
      </c>
      <c r="AE29" s="5" t="e">
        <f>B29&gt;=Summary!#REF!</f>
        <v>#REF!</v>
      </c>
      <c r="AF29" s="5" t="e">
        <f>B29&lt;(Summary!#REF!+Summary!#REF!*7)</f>
        <v>#REF!</v>
      </c>
      <c r="AH29" s="104">
        <f>IF($B29&gt;assumptions!$F$59,assumptions!$D$60,assumptions!$D$59)</f>
        <v>9100</v>
      </c>
      <c r="AI29" s="65">
        <f>IF($B29&gt;assumptions!$F$59,assumptions!$D$56,assumptions!$D$55)</f>
        <v>0.13800000000000001</v>
      </c>
    </row>
    <row r="30" spans="1:35" x14ac:dyDescent="0.3">
      <c r="A30" s="1">
        <f t="shared" si="8"/>
        <v>24</v>
      </c>
      <c r="B30" s="17">
        <f t="shared" si="9"/>
        <v>161</v>
      </c>
      <c r="C30" s="107">
        <f t="shared" si="0"/>
        <v>1900</v>
      </c>
      <c r="D30" s="17">
        <f t="shared" si="2"/>
        <v>213</v>
      </c>
      <c r="E30" s="17" t="str">
        <f>IF(B30&lt;assumptions!$D$82,assumptions!$E$82,IF('Phased costs'!B30&lt;assumptions!$D$83,assumptions!$E$83,IF('Phased costs'!B30&lt;assumptions!$D$84,assumptions!$E$84,IF(B30&lt;assumptions!$D$85,assumptions!$E$85))))</f>
        <v>2024/25</v>
      </c>
      <c r="F30" s="17"/>
      <c r="G30" s="5">
        <f>+Summary!$D$7/52</f>
        <v>0</v>
      </c>
      <c r="H30" s="5">
        <f>IF((G30-AH30/52)&gt;0,('Phased costs'!G30-AH30/52)*AI30,0)</f>
        <v>0</v>
      </c>
      <c r="I30" s="5">
        <f t="shared" si="3"/>
        <v>0</v>
      </c>
      <c r="J30" s="3">
        <f>IF(B30&lt;assumptions!$E$52,assumptions!$D$51,assumptions!$D$52)</f>
        <v>0.22600000000000001</v>
      </c>
      <c r="K30" s="3">
        <f>IF(B30&lt;assumptions!$E$50,assumptions!$D$48,assumptions!$D$50)</f>
        <v>0.21099999999999999</v>
      </c>
      <c r="L30" s="3">
        <f>IF(B30&lt;assumptions!$E$53,0,assumptions!$D$53)</f>
        <v>0</v>
      </c>
      <c r="M30" s="5">
        <f>IF(Summary!$D$15="LGPS",'Phased costs'!J30*'Phased costs'!G30,IF(Summary!$D$15="USS",'Phased costs'!K30*'Phased costs'!G30,L30*'Phased costs'!G30))</f>
        <v>0</v>
      </c>
      <c r="N30" s="20">
        <f t="shared" si="4"/>
        <v>0</v>
      </c>
      <c r="O30" s="65">
        <f>VLOOKUP(Summary!$D$7,assumptions!$D$76:$E$78,2,TRUE)</f>
        <v>5.5E-2</v>
      </c>
      <c r="P30" s="65">
        <f>IF(B30&lt;assumptions!$E$48,assumptions!$D$73,assumptions!$D$75)</f>
        <v>9.6000000000000002E-2</v>
      </c>
      <c r="Q30" s="65">
        <f>assumptions!$E$79</f>
        <v>0.06</v>
      </c>
      <c r="R30" s="66">
        <f>IF(Summary!$D$15="LGPS",'Phased costs'!O30,IF(Summary!$D$15="USS",'Phased costs'!P30,Q30))*G30</f>
        <v>0</v>
      </c>
      <c r="S30" s="17" t="str">
        <f>IF(A30&lt;=Summary!$D$13,"L","")</f>
        <v/>
      </c>
      <c r="T30" s="5" t="str">
        <f>IF(OR(Summary!$D$18="SMP",Summary!$D$18="SAP"),VLOOKUP(A30,assumptions!$F$22:$G$24,2,TRUE),IF(OR(Summary!$D$18="OMP/OShPP",Summary!$D$18="OAP"),VLOOKUP('Phased costs'!A30,assumptions!$F$33:$G$36,2,TRUE),IF(Summary!$D$18="ShPP",VLOOKUP(A30,assumptions!$F$28:$G$29,2,TRUE),"n/a")))</f>
        <v>n/a</v>
      </c>
      <c r="U30" s="5">
        <f>IF(T30="n/a",0,IF((T30-AH30/52)&gt;0,('Phased costs'!T30-AH30/52)*AI30,0))</f>
        <v>0</v>
      </c>
      <c r="V30" s="5">
        <f t="shared" si="6"/>
        <v>0</v>
      </c>
      <c r="W30" s="3">
        <f>IF(B30&lt;assumptions!$E$52,assumptions!$D$51,assumptions!$D$52)</f>
        <v>0.22600000000000001</v>
      </c>
      <c r="X30" s="3">
        <f>IF(B30&lt;assumptions!$E$50,assumptions!$D$48,assumptions!$D$50)</f>
        <v>0.21099999999999999</v>
      </c>
      <c r="Y30" s="3">
        <f>IF(B30&lt;assumptions!$E$53,0,assumptions!$D$53)</f>
        <v>0</v>
      </c>
      <c r="Z30" s="66">
        <f>IF(T30="n/a",0,IF(T30&gt;0,(R30-IF(Summary!$D$15="LGPS",'Phased costs'!O30,IF(Summary!$D$15="USS",'Phased costs'!P30,Q30))*T30),0))</f>
        <v>0</v>
      </c>
      <c r="AA30" s="5">
        <f t="shared" si="7"/>
        <v>0</v>
      </c>
      <c r="AB30" s="20">
        <f>IF(T30="n/a",0,IF(Summary!$D$9="Shared Parental",VLOOKUP(A30,assumptions!$F$28:$G$29,2,TRUE)*-0.92,VLOOKUP(A30,assumptions!$F$22:$G$24,2,TRUE)*-0.92))</f>
        <v>0</v>
      </c>
      <c r="AC30" s="21">
        <f t="shared" si="5"/>
        <v>0</v>
      </c>
      <c r="AE30" s="5" t="e">
        <f>B30&gt;=Summary!#REF!</f>
        <v>#REF!</v>
      </c>
      <c r="AF30" s="5" t="e">
        <f>B30&lt;(Summary!#REF!+Summary!#REF!*7)</f>
        <v>#REF!</v>
      </c>
      <c r="AH30" s="104">
        <f>IF($B30&gt;assumptions!$F$59,assumptions!$D$60,assumptions!$D$59)</f>
        <v>9100</v>
      </c>
      <c r="AI30" s="65">
        <f>IF($B30&gt;assumptions!$F$59,assumptions!$D$56,assumptions!$D$55)</f>
        <v>0.13800000000000001</v>
      </c>
    </row>
    <row r="31" spans="1:35" x14ac:dyDescent="0.3">
      <c r="A31" s="1">
        <f t="shared" si="8"/>
        <v>25</v>
      </c>
      <c r="B31" s="17">
        <f t="shared" si="9"/>
        <v>168</v>
      </c>
      <c r="C31" s="107">
        <f t="shared" si="0"/>
        <v>1900</v>
      </c>
      <c r="D31" s="17">
        <f t="shared" si="2"/>
        <v>213</v>
      </c>
      <c r="E31" s="17" t="str">
        <f>IF(B31&lt;assumptions!$D$82,assumptions!$E$82,IF('Phased costs'!B31&lt;assumptions!$D$83,assumptions!$E$83,IF('Phased costs'!B31&lt;assumptions!$D$84,assumptions!$E$84,IF(B31&lt;assumptions!$D$85,assumptions!$E$85))))</f>
        <v>2024/25</v>
      </c>
      <c r="F31" s="17"/>
      <c r="G31" s="5">
        <f>+Summary!$D$7/52</f>
        <v>0</v>
      </c>
      <c r="H31" s="5">
        <f>IF((G31-AH31/52)&gt;0,('Phased costs'!G31-AH31/52)*AI31,0)</f>
        <v>0</v>
      </c>
      <c r="I31" s="5">
        <f t="shared" si="3"/>
        <v>0</v>
      </c>
      <c r="J31" s="3">
        <f>IF(B31&lt;assumptions!$E$52,assumptions!$D$51,assumptions!$D$52)</f>
        <v>0.22600000000000001</v>
      </c>
      <c r="K31" s="3">
        <f>IF(B31&lt;assumptions!$E$50,assumptions!$D$48,assumptions!$D$50)</f>
        <v>0.21099999999999999</v>
      </c>
      <c r="L31" s="3">
        <f>IF(B31&lt;assumptions!$E$53,0,assumptions!$D$53)</f>
        <v>0</v>
      </c>
      <c r="M31" s="5">
        <f>IF(Summary!$D$15="LGPS",'Phased costs'!J31*'Phased costs'!G31,IF(Summary!$D$15="USS",'Phased costs'!K31*'Phased costs'!G31,L31*'Phased costs'!G31))</f>
        <v>0</v>
      </c>
      <c r="N31" s="20">
        <f t="shared" si="4"/>
        <v>0</v>
      </c>
      <c r="O31" s="65">
        <f>VLOOKUP(Summary!$D$7,assumptions!$D$76:$E$78,2,TRUE)</f>
        <v>5.5E-2</v>
      </c>
      <c r="P31" s="65">
        <f>IF(B31&lt;assumptions!$E$48,assumptions!$D$73,assumptions!$D$75)</f>
        <v>9.6000000000000002E-2</v>
      </c>
      <c r="Q31" s="65">
        <f>assumptions!$E$79</f>
        <v>0.06</v>
      </c>
      <c r="R31" s="66">
        <f>IF(Summary!$D$15="LGPS",'Phased costs'!O31,IF(Summary!$D$15="USS",'Phased costs'!P31,Q31))*G31</f>
        <v>0</v>
      </c>
      <c r="S31" s="17" t="str">
        <f>IF(A31&lt;=Summary!$D$13,"L","")</f>
        <v/>
      </c>
      <c r="T31" s="5" t="str">
        <f>IF(OR(Summary!$D$18="SMP",Summary!$D$18="SAP"),VLOOKUP(A31,assumptions!$F$22:$G$24,2,TRUE),IF(OR(Summary!$D$18="OMP/OShPP",Summary!$D$18="OAP"),VLOOKUP('Phased costs'!A31,assumptions!$F$33:$G$36,2,TRUE),IF(Summary!$D$18="ShPP",VLOOKUP(A31,assumptions!$F$28:$G$29,2,TRUE),"n/a")))</f>
        <v>n/a</v>
      </c>
      <c r="U31" s="5">
        <f>IF(T31="n/a",0,IF((T31-AH31/52)&gt;0,('Phased costs'!T31-AH31/52)*AI31,0))</f>
        <v>0</v>
      </c>
      <c r="V31" s="5">
        <f t="shared" si="6"/>
        <v>0</v>
      </c>
      <c r="W31" s="3">
        <f>IF(B31&lt;assumptions!$E$52,assumptions!$D$51,assumptions!$D$52)</f>
        <v>0.22600000000000001</v>
      </c>
      <c r="X31" s="3">
        <f>IF(B31&lt;assumptions!$E$50,assumptions!$D$48,assumptions!$D$50)</f>
        <v>0.21099999999999999</v>
      </c>
      <c r="Y31" s="3">
        <f>IF(B31&lt;assumptions!$E$53,0,assumptions!$D$53)</f>
        <v>0</v>
      </c>
      <c r="Z31" s="66">
        <f>IF(T31="n/a",0,IF(T31&gt;0,(R31-IF(Summary!$D$15="LGPS",'Phased costs'!O31,IF(Summary!$D$15="USS",'Phased costs'!P31,Q31))*T31),0))</f>
        <v>0</v>
      </c>
      <c r="AA31" s="5">
        <f t="shared" si="7"/>
        <v>0</v>
      </c>
      <c r="AB31" s="20">
        <f>IF(T31="n/a",0,IF(Summary!$D$9="Shared Parental",VLOOKUP(A31,assumptions!$F$28:$G$29,2,TRUE)*-0.92,VLOOKUP(A31,assumptions!$F$22:$G$24,2,TRUE)*-0.92))</f>
        <v>0</v>
      </c>
      <c r="AC31" s="21">
        <f t="shared" si="5"/>
        <v>0</v>
      </c>
      <c r="AE31" s="5" t="e">
        <f>B31&gt;=Summary!#REF!</f>
        <v>#REF!</v>
      </c>
      <c r="AF31" s="5" t="e">
        <f>B31&lt;(Summary!#REF!+Summary!#REF!*7)</f>
        <v>#REF!</v>
      </c>
      <c r="AH31" s="104">
        <f>IF($B31&gt;assumptions!$F$59,assumptions!$D$60,assumptions!$D$59)</f>
        <v>9100</v>
      </c>
      <c r="AI31" s="65">
        <f>IF($B31&gt;assumptions!$F$59,assumptions!$D$56,assumptions!$D$55)</f>
        <v>0.13800000000000001</v>
      </c>
    </row>
    <row r="32" spans="1:35" x14ac:dyDescent="0.3">
      <c r="A32" s="1">
        <f t="shared" si="8"/>
        <v>26</v>
      </c>
      <c r="B32" s="17">
        <f t="shared" si="9"/>
        <v>175</v>
      </c>
      <c r="C32" s="107">
        <f t="shared" si="0"/>
        <v>1900</v>
      </c>
      <c r="D32" s="17">
        <f t="shared" si="2"/>
        <v>213</v>
      </c>
      <c r="E32" s="17" t="str">
        <f>IF(B32&lt;assumptions!$D$82,assumptions!$E$82,IF('Phased costs'!B32&lt;assumptions!$D$83,assumptions!$E$83,IF('Phased costs'!B32&lt;assumptions!$D$84,assumptions!$E$84,IF(B32&lt;assumptions!$D$85,assumptions!$E$85))))</f>
        <v>2024/25</v>
      </c>
      <c r="F32" s="17"/>
      <c r="G32" s="5">
        <f>+Summary!$D$7/52</f>
        <v>0</v>
      </c>
      <c r="H32" s="5">
        <f>IF((G32-AH32/52)&gt;0,('Phased costs'!G32-AH32/52)*AI32,0)</f>
        <v>0</v>
      </c>
      <c r="I32" s="5">
        <f t="shared" si="3"/>
        <v>0</v>
      </c>
      <c r="J32" s="3">
        <f>IF(B32&lt;assumptions!$E$52,assumptions!$D$51,assumptions!$D$52)</f>
        <v>0.22600000000000001</v>
      </c>
      <c r="K32" s="3">
        <f>IF(B32&lt;assumptions!$E$50,assumptions!$D$48,assumptions!$D$50)</f>
        <v>0.21099999999999999</v>
      </c>
      <c r="L32" s="3">
        <f>IF(B32&lt;assumptions!$E$53,0,assumptions!$D$53)</f>
        <v>0</v>
      </c>
      <c r="M32" s="5">
        <f>IF(Summary!$D$15="LGPS",'Phased costs'!J32*'Phased costs'!G32,IF(Summary!$D$15="USS",'Phased costs'!K32*'Phased costs'!G32,L32*'Phased costs'!G32))</f>
        <v>0</v>
      </c>
      <c r="N32" s="20">
        <f t="shared" si="4"/>
        <v>0</v>
      </c>
      <c r="O32" s="65">
        <f>VLOOKUP(Summary!$D$7,assumptions!$D$76:$E$78,2,TRUE)</f>
        <v>5.5E-2</v>
      </c>
      <c r="P32" s="65">
        <f>IF(B32&lt;assumptions!$E$48,assumptions!$D$73,assumptions!$D$75)</f>
        <v>9.6000000000000002E-2</v>
      </c>
      <c r="Q32" s="65">
        <f>assumptions!$E$79</f>
        <v>0.06</v>
      </c>
      <c r="R32" s="66">
        <f>IF(Summary!$D$15="LGPS",'Phased costs'!O32,IF(Summary!$D$15="USS",'Phased costs'!P32,Q32))*G32</f>
        <v>0</v>
      </c>
      <c r="S32" s="17" t="str">
        <f>IF(A32&lt;=Summary!$D$13,"L","")</f>
        <v/>
      </c>
      <c r="T32" s="5" t="str">
        <f>IF(OR(Summary!$D$18="SMP",Summary!$D$18="SAP"),VLOOKUP(A32,assumptions!$F$22:$G$24,2,TRUE),IF(OR(Summary!$D$18="OMP/OShPP",Summary!$D$18="OAP"),VLOOKUP('Phased costs'!A32,assumptions!$F$33:$G$36,2,TRUE),IF(Summary!$D$18="ShPP",VLOOKUP(A32,assumptions!$F$28:$G$29,2,TRUE),"n/a")))</f>
        <v>n/a</v>
      </c>
      <c r="U32" s="5">
        <f>IF(T32="n/a",0,IF((T32-AH32/52)&gt;0,('Phased costs'!T32-AH32/52)*AI32,0))</f>
        <v>0</v>
      </c>
      <c r="V32" s="5">
        <f t="shared" si="6"/>
        <v>0</v>
      </c>
      <c r="W32" s="3">
        <f>IF(B32&lt;assumptions!$E$52,assumptions!$D$51,assumptions!$D$52)</f>
        <v>0.22600000000000001</v>
      </c>
      <c r="X32" s="3">
        <f>IF(B32&lt;assumptions!$E$50,assumptions!$D$48,assumptions!$D$50)</f>
        <v>0.21099999999999999</v>
      </c>
      <c r="Y32" s="3">
        <f>IF(B32&lt;assumptions!$E$53,0,assumptions!$D$53)</f>
        <v>0</v>
      </c>
      <c r="Z32" s="66">
        <f>IF(T32="n/a",0,IF(T32&gt;0,(R32-IF(Summary!$D$15="LGPS",'Phased costs'!O32,IF(Summary!$D$15="USS",'Phased costs'!P32,Q32))*T32),0))</f>
        <v>0</v>
      </c>
      <c r="AA32" s="5">
        <f t="shared" si="7"/>
        <v>0</v>
      </c>
      <c r="AB32" s="20">
        <f>IF(T32="n/a",0,IF(Summary!$D$9="Shared Parental",VLOOKUP(A32,assumptions!$F$28:$G$29,2,TRUE)*-0.92,VLOOKUP(A32,assumptions!$F$22:$G$24,2,TRUE)*-0.92))</f>
        <v>0</v>
      </c>
      <c r="AC32" s="21">
        <f t="shared" si="5"/>
        <v>0</v>
      </c>
      <c r="AE32" s="5" t="e">
        <f>B32&gt;=Summary!#REF!</f>
        <v>#REF!</v>
      </c>
      <c r="AF32" s="5" t="e">
        <f>B32&lt;(Summary!#REF!+Summary!#REF!*7)</f>
        <v>#REF!</v>
      </c>
      <c r="AH32" s="104">
        <f>IF($B32&gt;assumptions!$F$59,assumptions!$D$60,assumptions!$D$59)</f>
        <v>9100</v>
      </c>
      <c r="AI32" s="65">
        <f>IF($B32&gt;assumptions!$F$59,assumptions!$D$56,assumptions!$D$55)</f>
        <v>0.13800000000000001</v>
      </c>
    </row>
    <row r="33" spans="1:35" x14ac:dyDescent="0.3">
      <c r="A33" s="1">
        <f t="shared" si="8"/>
        <v>27</v>
      </c>
      <c r="B33" s="17">
        <f t="shared" si="9"/>
        <v>182</v>
      </c>
      <c r="C33" s="107">
        <f t="shared" si="0"/>
        <v>1900</v>
      </c>
      <c r="D33" s="17">
        <f t="shared" si="2"/>
        <v>213</v>
      </c>
      <c r="E33" s="17" t="str">
        <f>IF(B33&lt;assumptions!$D$82,assumptions!$E$82,IF('Phased costs'!B33&lt;assumptions!$D$83,assumptions!$E$83,IF('Phased costs'!B33&lt;assumptions!$D$84,assumptions!$E$84,IF(B33&lt;assumptions!$D$85,assumptions!$E$85))))</f>
        <v>2024/25</v>
      </c>
      <c r="F33" s="17"/>
      <c r="G33" s="5">
        <f>+Summary!$D$7/52</f>
        <v>0</v>
      </c>
      <c r="H33" s="5">
        <f>IF((G33-AH33/52)&gt;0,('Phased costs'!G33-AH33/52)*AI33,0)</f>
        <v>0</v>
      </c>
      <c r="I33" s="5">
        <f t="shared" si="3"/>
        <v>0</v>
      </c>
      <c r="J33" s="3">
        <f>IF(B33&lt;assumptions!$E$52,assumptions!$D$51,assumptions!$D$52)</f>
        <v>0.22600000000000001</v>
      </c>
      <c r="K33" s="3">
        <f>IF(B33&lt;assumptions!$E$50,assumptions!$D$48,assumptions!$D$50)</f>
        <v>0.21099999999999999</v>
      </c>
      <c r="L33" s="3">
        <f>IF(B33&lt;assumptions!$E$53,0,assumptions!$D$53)</f>
        <v>0</v>
      </c>
      <c r="M33" s="5">
        <f>IF(Summary!$D$15="LGPS",'Phased costs'!J33*'Phased costs'!G33,IF(Summary!$D$15="USS",'Phased costs'!K33*'Phased costs'!G33,L33*'Phased costs'!G33))</f>
        <v>0</v>
      </c>
      <c r="N33" s="20">
        <f t="shared" si="4"/>
        <v>0</v>
      </c>
      <c r="O33" s="65">
        <f>VLOOKUP(Summary!$D$7,assumptions!$D$76:$E$78,2,TRUE)</f>
        <v>5.5E-2</v>
      </c>
      <c r="P33" s="65">
        <f>IF(B33&lt;assumptions!$E$48,assumptions!$D$73,assumptions!$D$75)</f>
        <v>9.6000000000000002E-2</v>
      </c>
      <c r="Q33" s="65">
        <f>assumptions!$E$79</f>
        <v>0.06</v>
      </c>
      <c r="R33" s="66">
        <f>IF(Summary!$D$15="LGPS",'Phased costs'!O33,IF(Summary!$D$15="USS",'Phased costs'!P33,Q33))*G33</f>
        <v>0</v>
      </c>
      <c r="S33" s="17" t="str">
        <f>IF(A33&lt;=Summary!$D$13,"L","")</f>
        <v/>
      </c>
      <c r="T33" s="5" t="str">
        <f>IF(OR(Summary!$D$18="SMP",Summary!$D$18="SAP"),VLOOKUP(A33,assumptions!$F$22:$G$24,2,TRUE),IF(OR(Summary!$D$18="OMP/OShPP",Summary!$D$18="OAP"),VLOOKUP('Phased costs'!A33,assumptions!$F$33:$G$36,2,TRUE),IF(Summary!$D$18="ShPP",VLOOKUP(A33,assumptions!$F$28:$G$29,2,TRUE),"n/a")))</f>
        <v>n/a</v>
      </c>
      <c r="U33" s="5">
        <f>IF(T33="n/a",0,IF((T33-AH33/52)&gt;0,('Phased costs'!T33-AH33/52)*AI33,0))</f>
        <v>0</v>
      </c>
      <c r="V33" s="5">
        <f t="shared" si="6"/>
        <v>0</v>
      </c>
      <c r="W33" s="3">
        <f>IF(B33&lt;assumptions!$E$52,assumptions!$D$51,assumptions!$D$52)</f>
        <v>0.22600000000000001</v>
      </c>
      <c r="X33" s="3">
        <f>IF(B33&lt;assumptions!$E$50,assumptions!$D$48,assumptions!$D$50)</f>
        <v>0.21099999999999999</v>
      </c>
      <c r="Y33" s="3">
        <f>IF(B33&lt;assumptions!$E$53,0,assumptions!$D$53)</f>
        <v>0</v>
      </c>
      <c r="Z33" s="66">
        <f>IF(T33="n/a",0,IF(T33&gt;0,(R33-IF(Summary!$D$15="LGPS",'Phased costs'!O33,IF(Summary!$D$15="USS",'Phased costs'!P33,Q33))*T33),0))</f>
        <v>0</v>
      </c>
      <c r="AA33" s="5">
        <f t="shared" si="7"/>
        <v>0</v>
      </c>
      <c r="AB33" s="20">
        <f>IF(T33="n/a",0,IF(Summary!$D$9="Shared Parental",VLOOKUP(A33,assumptions!$F$28:$G$29,2,TRUE)*-0.92,VLOOKUP(A33,assumptions!$F$22:$G$24,2,TRUE)*-0.92))</f>
        <v>0</v>
      </c>
      <c r="AC33" s="21">
        <f t="shared" si="5"/>
        <v>0</v>
      </c>
      <c r="AE33" s="5" t="e">
        <f>B33&gt;=Summary!#REF!</f>
        <v>#REF!</v>
      </c>
      <c r="AF33" s="5" t="e">
        <f>B33&lt;(Summary!#REF!+Summary!#REF!*7)</f>
        <v>#REF!</v>
      </c>
      <c r="AH33" s="104">
        <f>IF($B33&gt;assumptions!$F$59,assumptions!$D$60,assumptions!$D$59)</f>
        <v>9100</v>
      </c>
      <c r="AI33" s="65">
        <f>IF($B33&gt;assumptions!$F$59,assumptions!$D$56,assumptions!$D$55)</f>
        <v>0.13800000000000001</v>
      </c>
    </row>
    <row r="34" spans="1:35" x14ac:dyDescent="0.3">
      <c r="A34" s="1">
        <f t="shared" si="8"/>
        <v>28</v>
      </c>
      <c r="B34" s="17">
        <f t="shared" si="9"/>
        <v>189</v>
      </c>
      <c r="C34" s="107">
        <f t="shared" si="0"/>
        <v>1900</v>
      </c>
      <c r="D34" s="17">
        <f t="shared" si="2"/>
        <v>213</v>
      </c>
      <c r="E34" s="17" t="str">
        <f>IF(B34&lt;assumptions!$D$82,assumptions!$E$82,IF('Phased costs'!B34&lt;assumptions!$D$83,assumptions!$E$83,IF('Phased costs'!B34&lt;assumptions!$D$84,assumptions!$E$84,IF(B34&lt;assumptions!$D$85,assumptions!$E$85))))</f>
        <v>2024/25</v>
      </c>
      <c r="F34" s="17"/>
      <c r="G34" s="5">
        <f>+Summary!$D$7/52</f>
        <v>0</v>
      </c>
      <c r="H34" s="5">
        <f>IF((G34-AH34/52)&gt;0,('Phased costs'!G34-AH34/52)*AI34,0)</f>
        <v>0</v>
      </c>
      <c r="I34" s="5">
        <f t="shared" si="3"/>
        <v>0</v>
      </c>
      <c r="J34" s="3">
        <f>IF(B34&lt;assumptions!$E$52,assumptions!$D$51,assumptions!$D$52)</f>
        <v>0.22600000000000001</v>
      </c>
      <c r="K34" s="3">
        <f>IF(B34&lt;assumptions!$E$50,assumptions!$D$48,assumptions!$D$50)</f>
        <v>0.21099999999999999</v>
      </c>
      <c r="L34" s="3">
        <f>IF(B34&lt;assumptions!$E$53,0,assumptions!$D$53)</f>
        <v>0</v>
      </c>
      <c r="M34" s="5">
        <f>IF(Summary!$D$15="LGPS",'Phased costs'!J34*'Phased costs'!G34,IF(Summary!$D$15="USS",'Phased costs'!K34*'Phased costs'!G34,L34*'Phased costs'!G34))</f>
        <v>0</v>
      </c>
      <c r="N34" s="20">
        <f t="shared" si="4"/>
        <v>0</v>
      </c>
      <c r="O34" s="65">
        <f>VLOOKUP(Summary!$D$7,assumptions!$D$76:$E$78,2,TRUE)</f>
        <v>5.5E-2</v>
      </c>
      <c r="P34" s="65">
        <f>IF(B34&lt;assumptions!$E$48,assumptions!$D$73,assumptions!$D$75)</f>
        <v>9.6000000000000002E-2</v>
      </c>
      <c r="Q34" s="65">
        <f>assumptions!$E$79</f>
        <v>0.06</v>
      </c>
      <c r="R34" s="66">
        <f>IF(Summary!$D$15="LGPS",'Phased costs'!O34,IF(Summary!$D$15="USS",'Phased costs'!P34,Q34))*G34</f>
        <v>0</v>
      </c>
      <c r="S34" s="17" t="str">
        <f>IF(A34&lt;=Summary!$D$13,"L","")</f>
        <v/>
      </c>
      <c r="T34" s="5" t="str">
        <f>IF(OR(Summary!$D$18="SMP",Summary!$D$18="SAP"),VLOOKUP(A34,assumptions!$F$22:$G$24,2,TRUE),IF(OR(Summary!$D$18="OMP/OShPP",Summary!$D$18="OAP"),VLOOKUP('Phased costs'!A34,assumptions!$F$33:$G$36,2,TRUE),IF(Summary!$D$18="ShPP",VLOOKUP(A34,assumptions!$F$28:$G$29,2,TRUE),"n/a")))</f>
        <v>n/a</v>
      </c>
      <c r="U34" s="5">
        <f>IF(T34="n/a",0,IF((T34-AH34/52)&gt;0,('Phased costs'!T34-AH34/52)*AI34,0))</f>
        <v>0</v>
      </c>
      <c r="V34" s="5">
        <f t="shared" si="6"/>
        <v>0</v>
      </c>
      <c r="W34" s="3">
        <f>IF(B34&lt;assumptions!$E$52,assumptions!$D$51,assumptions!$D$52)</f>
        <v>0.22600000000000001</v>
      </c>
      <c r="X34" s="3">
        <f>IF(B34&lt;assumptions!$E$50,assumptions!$D$48,assumptions!$D$50)</f>
        <v>0.21099999999999999</v>
      </c>
      <c r="Y34" s="3">
        <f>IF(B34&lt;assumptions!$E$53,0,assumptions!$D$53)</f>
        <v>0</v>
      </c>
      <c r="Z34" s="66">
        <f>IF(T34="n/a",0,IF(T34&gt;0,(R34-IF(Summary!$D$15="LGPS",'Phased costs'!O34,IF(Summary!$D$15="USS",'Phased costs'!P34,Q34))*T34),0))</f>
        <v>0</v>
      </c>
      <c r="AA34" s="5">
        <f t="shared" si="7"/>
        <v>0</v>
      </c>
      <c r="AB34" s="20">
        <f>IF(T34="n/a",0,IF(Summary!$D$9="Shared Parental",VLOOKUP(A34,assumptions!$F$28:$G$29,2,TRUE)*-0.92,VLOOKUP(A34,assumptions!$F$22:$G$24,2,TRUE)*-0.92))</f>
        <v>0</v>
      </c>
      <c r="AC34" s="21">
        <f t="shared" si="5"/>
        <v>0</v>
      </c>
      <c r="AE34" s="5" t="e">
        <f>B34&gt;=Summary!#REF!</f>
        <v>#REF!</v>
      </c>
      <c r="AF34" s="5" t="e">
        <f>B34&lt;(Summary!#REF!+Summary!#REF!*7)</f>
        <v>#REF!</v>
      </c>
      <c r="AH34" s="104">
        <f>IF($B34&gt;assumptions!$F$59,assumptions!$D$60,assumptions!$D$59)</f>
        <v>9100</v>
      </c>
      <c r="AI34" s="65">
        <f>IF($B34&gt;assumptions!$F$59,assumptions!$D$56,assumptions!$D$55)</f>
        <v>0.13800000000000001</v>
      </c>
    </row>
    <row r="35" spans="1:35" x14ac:dyDescent="0.3">
      <c r="A35" s="1">
        <f t="shared" si="8"/>
        <v>29</v>
      </c>
      <c r="B35" s="17">
        <f t="shared" si="9"/>
        <v>196</v>
      </c>
      <c r="C35" s="107">
        <f t="shared" si="0"/>
        <v>1900</v>
      </c>
      <c r="D35" s="17">
        <f t="shared" si="2"/>
        <v>213</v>
      </c>
      <c r="E35" s="17" t="str">
        <f>IF(B35&lt;assumptions!$D$82,assumptions!$E$82,IF('Phased costs'!B35&lt;assumptions!$D$83,assumptions!$E$83,IF('Phased costs'!B35&lt;assumptions!$D$84,assumptions!$E$84,IF(B35&lt;assumptions!$D$85,assumptions!$E$85))))</f>
        <v>2024/25</v>
      </c>
      <c r="F35" s="17"/>
      <c r="G35" s="5">
        <f>+Summary!$D$7/52</f>
        <v>0</v>
      </c>
      <c r="H35" s="5">
        <f>IF((G35-AH35/52)&gt;0,('Phased costs'!G35-AH35/52)*AI35,0)</f>
        <v>0</v>
      </c>
      <c r="I35" s="5">
        <f t="shared" si="3"/>
        <v>0</v>
      </c>
      <c r="J35" s="3">
        <f>IF(B35&lt;assumptions!$E$52,assumptions!$D$51,assumptions!$D$52)</f>
        <v>0.22600000000000001</v>
      </c>
      <c r="K35" s="3">
        <f>IF(B35&lt;assumptions!$E$50,assumptions!$D$48,assumptions!$D$50)</f>
        <v>0.21099999999999999</v>
      </c>
      <c r="L35" s="3">
        <f>IF(B35&lt;assumptions!$E$53,0,assumptions!$D$53)</f>
        <v>0</v>
      </c>
      <c r="M35" s="5">
        <f>IF(Summary!$D$15="LGPS",'Phased costs'!J35*'Phased costs'!G35,IF(Summary!$D$15="USS",'Phased costs'!K35*'Phased costs'!G35,L35*'Phased costs'!G35))</f>
        <v>0</v>
      </c>
      <c r="N35" s="20">
        <f t="shared" si="4"/>
        <v>0</v>
      </c>
      <c r="O35" s="65">
        <f>VLOOKUP(Summary!$D$7,assumptions!$D$76:$E$78,2,TRUE)</f>
        <v>5.5E-2</v>
      </c>
      <c r="P35" s="65">
        <f>IF(B35&lt;assumptions!$E$48,assumptions!$D$73,assumptions!$D$75)</f>
        <v>9.6000000000000002E-2</v>
      </c>
      <c r="Q35" s="65">
        <f>assumptions!$E$79</f>
        <v>0.06</v>
      </c>
      <c r="R35" s="66">
        <f>IF(Summary!$D$15="LGPS",'Phased costs'!O35,IF(Summary!$D$15="USS",'Phased costs'!P35,Q35))*G35</f>
        <v>0</v>
      </c>
      <c r="S35" s="17" t="str">
        <f>IF(A35&lt;=Summary!$D$13,"L","")</f>
        <v/>
      </c>
      <c r="T35" s="5" t="str">
        <f>IF(OR(Summary!$D$18="SMP",Summary!$D$18="SAP"),VLOOKUP(A35,assumptions!$F$22:$G$24,2,TRUE),IF(OR(Summary!$D$18="OMP/OShPP",Summary!$D$18="OAP"),VLOOKUP('Phased costs'!A35,assumptions!$F$33:$G$36,2,TRUE),IF(Summary!$D$18="ShPP",VLOOKUP(A35,assumptions!$F$28:$G$29,2,TRUE),"n/a")))</f>
        <v>n/a</v>
      </c>
      <c r="U35" s="5">
        <f>IF(T35="n/a",0,IF((T35-AH35/52)&gt;0,('Phased costs'!T35-AH35/52)*AI35,0))</f>
        <v>0</v>
      </c>
      <c r="V35" s="5">
        <f t="shared" si="6"/>
        <v>0</v>
      </c>
      <c r="W35" s="3">
        <f>IF(B35&lt;assumptions!$E$52,assumptions!$D$51,assumptions!$D$52)</f>
        <v>0.22600000000000001</v>
      </c>
      <c r="X35" s="3">
        <f>IF(B35&lt;assumptions!$E$50,assumptions!$D$48,assumptions!$D$50)</f>
        <v>0.21099999999999999</v>
      </c>
      <c r="Y35" s="3">
        <f>IF(B35&lt;assumptions!$E$53,0,assumptions!$D$53)</f>
        <v>0</v>
      </c>
      <c r="Z35" s="66">
        <f>IF(T35="n/a",0,IF(T35&gt;0,(R35-IF(Summary!$D$15="LGPS",'Phased costs'!O35,IF(Summary!$D$15="USS",'Phased costs'!P35,Q35))*T35),0))</f>
        <v>0</v>
      </c>
      <c r="AA35" s="5">
        <f t="shared" si="7"/>
        <v>0</v>
      </c>
      <c r="AB35" s="20">
        <f>IF(T35="n/a",0,IF(Summary!$D$9="Shared Parental",VLOOKUP(A35,assumptions!$F$28:$G$29,2,TRUE)*-0.92,VLOOKUP(A35,assumptions!$F$22:$G$24,2,TRUE)*-0.92))</f>
        <v>0</v>
      </c>
      <c r="AC35" s="21">
        <f t="shared" si="5"/>
        <v>0</v>
      </c>
      <c r="AE35" s="5" t="e">
        <f>B35&gt;=Summary!#REF!</f>
        <v>#REF!</v>
      </c>
      <c r="AF35" s="5" t="e">
        <f>B35&lt;(Summary!#REF!+Summary!#REF!*7)</f>
        <v>#REF!</v>
      </c>
      <c r="AH35" s="104">
        <f>IF($B35&gt;assumptions!$F$59,assumptions!$D$60,assumptions!$D$59)</f>
        <v>9100</v>
      </c>
      <c r="AI35" s="65">
        <f>IF($B35&gt;assumptions!$F$59,assumptions!$D$56,assumptions!$D$55)</f>
        <v>0.13800000000000001</v>
      </c>
    </row>
    <row r="36" spans="1:35" x14ac:dyDescent="0.3">
      <c r="A36" s="1">
        <f t="shared" si="8"/>
        <v>30</v>
      </c>
      <c r="B36" s="17">
        <f t="shared" si="9"/>
        <v>203</v>
      </c>
      <c r="C36" s="107">
        <f t="shared" si="0"/>
        <v>1900</v>
      </c>
      <c r="D36" s="17">
        <f t="shared" si="2"/>
        <v>213</v>
      </c>
      <c r="E36" s="17" t="str">
        <f>IF(B36&lt;assumptions!$D$82,assumptions!$E$82,IF('Phased costs'!B36&lt;assumptions!$D$83,assumptions!$E$83,IF('Phased costs'!B36&lt;assumptions!$D$84,assumptions!$E$84,IF(B36&lt;assumptions!$D$85,assumptions!$E$85))))</f>
        <v>2024/25</v>
      </c>
      <c r="F36" s="17"/>
      <c r="G36" s="5">
        <f>+Summary!$D$7/52</f>
        <v>0</v>
      </c>
      <c r="H36" s="5">
        <f>IF((G36-AH36/52)&gt;0,('Phased costs'!G36-AH36/52)*AI36,0)</f>
        <v>0</v>
      </c>
      <c r="I36" s="5">
        <f t="shared" si="3"/>
        <v>0</v>
      </c>
      <c r="J36" s="3">
        <f>IF(B36&lt;assumptions!$E$52,assumptions!$D$51,assumptions!$D$52)</f>
        <v>0.22600000000000001</v>
      </c>
      <c r="K36" s="3">
        <f>IF(B36&lt;assumptions!$E$50,assumptions!$D$48,assumptions!$D$50)</f>
        <v>0.21099999999999999</v>
      </c>
      <c r="L36" s="3">
        <f>IF(B36&lt;assumptions!$E$53,0,assumptions!$D$53)</f>
        <v>0</v>
      </c>
      <c r="M36" s="5">
        <f>IF(Summary!$D$15="LGPS",'Phased costs'!J36*'Phased costs'!G36,IF(Summary!$D$15="USS",'Phased costs'!K36*'Phased costs'!G36,L36*'Phased costs'!G36))</f>
        <v>0</v>
      </c>
      <c r="N36" s="20">
        <f t="shared" si="4"/>
        <v>0</v>
      </c>
      <c r="O36" s="65">
        <f>VLOOKUP(Summary!$D$7,assumptions!$D$76:$E$78,2,TRUE)</f>
        <v>5.5E-2</v>
      </c>
      <c r="P36" s="65">
        <f>IF(B36&lt;assumptions!$E$48,assumptions!$D$73,assumptions!$D$75)</f>
        <v>9.6000000000000002E-2</v>
      </c>
      <c r="Q36" s="65">
        <f>assumptions!$E$79</f>
        <v>0.06</v>
      </c>
      <c r="R36" s="66">
        <f>IF(Summary!$D$15="LGPS",'Phased costs'!O36,IF(Summary!$D$15="USS",'Phased costs'!P36,Q36))*G36</f>
        <v>0</v>
      </c>
      <c r="S36" s="17" t="str">
        <f>IF(A36&lt;=Summary!$D$13,"L","")</f>
        <v/>
      </c>
      <c r="T36" s="5" t="str">
        <f>IF(OR(Summary!$D$18="SMP",Summary!$D$18="SAP"),VLOOKUP(A36,assumptions!$F$22:$G$24,2,TRUE),IF(OR(Summary!$D$18="OMP/OShPP",Summary!$D$18="OAP"),VLOOKUP('Phased costs'!A36,assumptions!$F$33:$G$36,2,TRUE),IF(Summary!$D$18="ShPP",VLOOKUP(A36,assumptions!$F$28:$G$29,2,TRUE),"n/a")))</f>
        <v>n/a</v>
      </c>
      <c r="U36" s="5">
        <f>IF(T36="n/a",0,IF((T36-AH36/52)&gt;0,('Phased costs'!T36-AH36/52)*AI36,0))</f>
        <v>0</v>
      </c>
      <c r="V36" s="5">
        <f t="shared" si="6"/>
        <v>0</v>
      </c>
      <c r="W36" s="3">
        <f>IF(B36&lt;assumptions!$E$52,assumptions!$D$51,assumptions!$D$52)</f>
        <v>0.22600000000000001</v>
      </c>
      <c r="X36" s="3">
        <f>IF(B36&lt;assumptions!$E$50,assumptions!$D$48,assumptions!$D$50)</f>
        <v>0.21099999999999999</v>
      </c>
      <c r="Y36" s="3">
        <f>IF(B36&lt;assumptions!$E$53,0,assumptions!$D$53)</f>
        <v>0</v>
      </c>
      <c r="Z36" s="66">
        <f>IF(T36="n/a",0,IF(T36&gt;0,(R36-IF(Summary!$D$15="LGPS",'Phased costs'!O36,IF(Summary!$D$15="USS",'Phased costs'!P36,Q36))*T36),0))</f>
        <v>0</v>
      </c>
      <c r="AA36" s="5">
        <f t="shared" si="7"/>
        <v>0</v>
      </c>
      <c r="AB36" s="20">
        <f>IF(T36="n/a",0,IF(Summary!$D$9="Shared Parental",VLOOKUP(A36,assumptions!$F$28:$G$29,2,TRUE)*-0.92,VLOOKUP(A36,assumptions!$F$22:$G$24,2,TRUE)*-0.92))</f>
        <v>0</v>
      </c>
      <c r="AC36" s="21">
        <f t="shared" si="5"/>
        <v>0</v>
      </c>
      <c r="AE36" s="5" t="e">
        <f>B36&gt;=Summary!#REF!</f>
        <v>#REF!</v>
      </c>
      <c r="AF36" s="5" t="e">
        <f>B36&lt;(Summary!#REF!+Summary!#REF!*7)</f>
        <v>#REF!</v>
      </c>
      <c r="AH36" s="104">
        <f>IF($B36&gt;assumptions!$F$59,assumptions!$D$60,assumptions!$D$59)</f>
        <v>9100</v>
      </c>
      <c r="AI36" s="65">
        <f>IF($B36&gt;assumptions!$F$59,assumptions!$D$56,assumptions!$D$55)</f>
        <v>0.13800000000000001</v>
      </c>
    </row>
    <row r="37" spans="1:35" x14ac:dyDescent="0.3">
      <c r="A37" s="1">
        <f t="shared" si="8"/>
        <v>31</v>
      </c>
      <c r="B37" s="17">
        <f t="shared" si="9"/>
        <v>210</v>
      </c>
      <c r="C37" s="107">
        <f t="shared" si="0"/>
        <v>1900</v>
      </c>
      <c r="D37" s="17">
        <f t="shared" si="2"/>
        <v>213</v>
      </c>
      <c r="E37" s="17" t="str">
        <f>IF(B37&lt;assumptions!$D$82,assumptions!$E$82,IF('Phased costs'!B37&lt;assumptions!$D$83,assumptions!$E$83,IF('Phased costs'!B37&lt;assumptions!$D$84,assumptions!$E$84,IF(B37&lt;assumptions!$D$85,assumptions!$E$85))))</f>
        <v>2024/25</v>
      </c>
      <c r="F37" s="17"/>
      <c r="G37" s="5">
        <f>+Summary!$D$7/52</f>
        <v>0</v>
      </c>
      <c r="H37" s="5">
        <f>IF((G37-AH37/52)&gt;0,('Phased costs'!G37-AH37/52)*AI37,0)</f>
        <v>0</v>
      </c>
      <c r="I37" s="5">
        <f>G37*0.005</f>
        <v>0</v>
      </c>
      <c r="J37" s="3">
        <f>IF(B37&lt;assumptions!$E$52,assumptions!$D$51,assumptions!$D$52)</f>
        <v>0.22600000000000001</v>
      </c>
      <c r="K37" s="3">
        <f>IF(B37&lt;assumptions!$E$50,assumptions!$D$48,assumptions!$D$50)</f>
        <v>0.21099999999999999</v>
      </c>
      <c r="L37" s="3">
        <f>IF(B37&lt;assumptions!$E$53,0,assumptions!$D$53)</f>
        <v>0</v>
      </c>
      <c r="M37" s="5">
        <f>IF(Summary!$D$15="LGPS",'Phased costs'!J37*'Phased costs'!G37,IF(Summary!$D$15="USS",'Phased costs'!K37*'Phased costs'!G37,L37*'Phased costs'!G37))</f>
        <v>0</v>
      </c>
      <c r="N37" s="20">
        <f t="shared" si="4"/>
        <v>0</v>
      </c>
      <c r="O37" s="65">
        <f>VLOOKUP(Summary!$D$7,assumptions!$D$76:$E$78,2,TRUE)</f>
        <v>5.5E-2</v>
      </c>
      <c r="P37" s="65">
        <f>IF(B37&lt;assumptions!$E$48,assumptions!$D$73,assumptions!$D$75)</f>
        <v>9.6000000000000002E-2</v>
      </c>
      <c r="Q37" s="65">
        <f>assumptions!$E$79</f>
        <v>0.06</v>
      </c>
      <c r="R37" s="66">
        <f>IF(Summary!$D$15="LGPS",'Phased costs'!O37,IF(Summary!$D$15="USS",'Phased costs'!P37,Q37))*G37</f>
        <v>0</v>
      </c>
      <c r="S37" s="17" t="str">
        <f>IF(A37&lt;=Summary!$D$13,"L","")</f>
        <v/>
      </c>
      <c r="T37" s="5" t="str">
        <f>IF(OR(Summary!$D$18="SMP",Summary!$D$18="SAP"),VLOOKUP(A37,assumptions!$F$22:$G$24,2,TRUE),IF(OR(Summary!$D$18="OMP/OShPP",Summary!$D$18="OAP"),VLOOKUP('Phased costs'!A37,assumptions!$F$33:$G$36,2,TRUE),IF(Summary!$D$18="ShPP",VLOOKUP(A37,assumptions!$F$28:$G$29,2,TRUE),"n/a")))</f>
        <v>n/a</v>
      </c>
      <c r="U37" s="5">
        <f>IF(T37="n/a",0,IF((T37-AH37/52)&gt;0,('Phased costs'!T37-AH37/52)*AI37,0))</f>
        <v>0</v>
      </c>
      <c r="V37" s="5">
        <f t="shared" si="6"/>
        <v>0</v>
      </c>
      <c r="W37" s="3">
        <f>IF(B37&lt;assumptions!$E$52,assumptions!$D$51,assumptions!$D$52)</f>
        <v>0.22600000000000001</v>
      </c>
      <c r="X37" s="3">
        <f>IF(B37&lt;assumptions!$E$50,assumptions!$D$48,assumptions!$D$50)</f>
        <v>0.21099999999999999</v>
      </c>
      <c r="Y37" s="3">
        <f>IF(B37&lt;assumptions!$E$53,0,assumptions!$D$53)</f>
        <v>0</v>
      </c>
      <c r="Z37" s="66">
        <f>IF(T37="n/a",0,IF(T37&gt;0,(R37-IF(Summary!$D$15="LGPS",'Phased costs'!O37,IF(Summary!$D$15="USS",'Phased costs'!P37,Q37))*T37),0))</f>
        <v>0</v>
      </c>
      <c r="AA37" s="5">
        <f t="shared" si="7"/>
        <v>0</v>
      </c>
      <c r="AB37" s="20">
        <f>IF(T37="n/a",0,IF(Summary!$D$9="Shared Parental",VLOOKUP(A37,assumptions!$F$28:$G$29,2,TRUE)*-0.92,VLOOKUP(A37,assumptions!$F$22:$G$24,2,TRUE)*-0.92))</f>
        <v>0</v>
      </c>
      <c r="AC37" s="21">
        <f t="shared" si="5"/>
        <v>0</v>
      </c>
      <c r="AE37" s="5" t="e">
        <f>B37&gt;=Summary!#REF!</f>
        <v>#REF!</v>
      </c>
      <c r="AF37" s="5" t="e">
        <f>B37&lt;(Summary!#REF!+Summary!#REF!*7)</f>
        <v>#REF!</v>
      </c>
      <c r="AH37" s="104">
        <f>IF($B37&gt;assumptions!$F$59,assumptions!$D$60,assumptions!$D$59)</f>
        <v>9100</v>
      </c>
      <c r="AI37" s="65">
        <f>IF($B37&gt;assumptions!$F$59,assumptions!$D$56,assumptions!$D$55)</f>
        <v>0.13800000000000001</v>
      </c>
    </row>
    <row r="38" spans="1:35" x14ac:dyDescent="0.3">
      <c r="A38" s="1">
        <f t="shared" si="8"/>
        <v>32</v>
      </c>
      <c r="B38" s="17">
        <f t="shared" si="9"/>
        <v>217</v>
      </c>
      <c r="C38" s="107">
        <f t="shared" si="0"/>
        <v>1900</v>
      </c>
      <c r="D38" s="17">
        <f t="shared" si="2"/>
        <v>213</v>
      </c>
      <c r="E38" s="17" t="str">
        <f>IF(B38&lt;assumptions!$D$82,assumptions!$E$82,IF('Phased costs'!B38&lt;assumptions!$D$83,assumptions!$E$83,IF('Phased costs'!B38&lt;assumptions!$D$84,assumptions!$E$84,IF(B38&lt;assumptions!$D$85,assumptions!$E$85))))</f>
        <v>2024/25</v>
      </c>
      <c r="F38" s="17"/>
      <c r="G38" s="5">
        <f>+Summary!$D$7/52</f>
        <v>0</v>
      </c>
      <c r="H38" s="5">
        <f>IF((G38-AH38/52)&gt;0,('Phased costs'!G38-AH38/52)*AI38,0)</f>
        <v>0</v>
      </c>
      <c r="I38" s="5">
        <f t="shared" si="3"/>
        <v>0</v>
      </c>
      <c r="J38" s="3">
        <f>IF(B38&lt;assumptions!$E$52,assumptions!$D$51,assumptions!$D$52)</f>
        <v>0.22600000000000001</v>
      </c>
      <c r="K38" s="3">
        <f>IF(B38&lt;assumptions!$E$50,assumptions!$D$48,assumptions!$D$50)</f>
        <v>0.21099999999999999</v>
      </c>
      <c r="L38" s="3">
        <f>IF(B38&lt;assumptions!$E$53,0,assumptions!$D$53)</f>
        <v>0</v>
      </c>
      <c r="M38" s="5">
        <f>IF(Summary!$D$15="LGPS",'Phased costs'!J38*'Phased costs'!G38,IF(Summary!$D$15="USS",'Phased costs'!K38*'Phased costs'!G38,L38*'Phased costs'!G38))</f>
        <v>0</v>
      </c>
      <c r="N38" s="20">
        <f t="shared" si="4"/>
        <v>0</v>
      </c>
      <c r="O38" s="65">
        <f>VLOOKUP(Summary!$D$7,assumptions!$D$76:$E$78,2,TRUE)</f>
        <v>5.5E-2</v>
      </c>
      <c r="P38" s="65">
        <f>IF(B38&lt;assumptions!$E$48,assumptions!$D$73,assumptions!$D$75)</f>
        <v>9.6000000000000002E-2</v>
      </c>
      <c r="Q38" s="65">
        <f>assumptions!$E$79</f>
        <v>0.06</v>
      </c>
      <c r="R38" s="66">
        <f>IF(Summary!$D$15="LGPS",'Phased costs'!O38,IF(Summary!$D$15="USS",'Phased costs'!P38,Q38))*G38</f>
        <v>0</v>
      </c>
      <c r="S38" s="17" t="str">
        <f>IF(A38&lt;=Summary!$D$13,"L","")</f>
        <v/>
      </c>
      <c r="T38" s="5" t="str">
        <f>IF(OR(Summary!$D$18="SMP",Summary!$D$18="SAP"),VLOOKUP(A38,assumptions!$F$22:$G$24,2,TRUE),IF(OR(Summary!$D$18="OMP/OShPP",Summary!$D$18="OAP"),VLOOKUP('Phased costs'!A38,assumptions!$F$33:$G$36,2,TRUE),IF(Summary!$D$18="ShPP",VLOOKUP(A38,assumptions!$F$28:$G$29,2,TRUE),"n/a")))</f>
        <v>n/a</v>
      </c>
      <c r="U38" s="5">
        <f>IF(T38="n/a",0,IF((T38-AH38/52)&gt;0,('Phased costs'!T38-AH38/52)*AI38,0))</f>
        <v>0</v>
      </c>
      <c r="V38" s="5">
        <f t="shared" si="6"/>
        <v>0</v>
      </c>
      <c r="W38" s="3">
        <f>IF(B38&lt;assumptions!$E$52,assumptions!$D$51,assumptions!$D$52)</f>
        <v>0.22600000000000001</v>
      </c>
      <c r="X38" s="3">
        <f>IF(B38&lt;assumptions!$E$50,assumptions!$D$48,assumptions!$D$50)</f>
        <v>0.21099999999999999</v>
      </c>
      <c r="Y38" s="3">
        <f>IF(B38&lt;assumptions!$E$53,0,assumptions!$D$53)</f>
        <v>0</v>
      </c>
      <c r="Z38" s="66">
        <f>IF(T38="n/a",0,IF(T38&gt;0,(R38-IF(Summary!$D$15="LGPS",'Phased costs'!O38,IF(Summary!$D$15="USS",'Phased costs'!P38,Q38))*T38),0))</f>
        <v>0</v>
      </c>
      <c r="AA38" s="5">
        <f t="shared" si="7"/>
        <v>0</v>
      </c>
      <c r="AB38" s="20">
        <f>IF(T38="n/a",0,IF(Summary!$D$9="Shared Parental",VLOOKUP(A38,assumptions!$F$28:$G$29,2,TRUE)*-0.92,VLOOKUP(A38,assumptions!$F$22:$G$24,2,TRUE)*-0.92))</f>
        <v>0</v>
      </c>
      <c r="AC38" s="21">
        <f t="shared" si="5"/>
        <v>0</v>
      </c>
      <c r="AE38" s="5" t="e">
        <f>B38&gt;=Summary!#REF!</f>
        <v>#REF!</v>
      </c>
      <c r="AF38" s="5" t="e">
        <f>B38&lt;(Summary!#REF!+Summary!#REF!*7)</f>
        <v>#REF!</v>
      </c>
      <c r="AH38" s="104">
        <f>IF($B38&gt;assumptions!$F$59,assumptions!$D$60,assumptions!$D$59)</f>
        <v>9100</v>
      </c>
      <c r="AI38" s="65">
        <f>IF($B38&gt;assumptions!$F$59,assumptions!$D$56,assumptions!$D$55)</f>
        <v>0.13800000000000001</v>
      </c>
    </row>
    <row r="39" spans="1:35" x14ac:dyDescent="0.3">
      <c r="A39" s="1">
        <f t="shared" si="8"/>
        <v>33</v>
      </c>
      <c r="B39" s="17">
        <f t="shared" si="9"/>
        <v>224</v>
      </c>
      <c r="C39" s="107">
        <f t="shared" si="0"/>
        <v>1900</v>
      </c>
      <c r="D39" s="17">
        <f t="shared" si="2"/>
        <v>213</v>
      </c>
      <c r="E39" s="17" t="str">
        <f>IF(B39&lt;assumptions!$D$82,assumptions!$E$82,IF('Phased costs'!B39&lt;assumptions!$D$83,assumptions!$E$83,IF('Phased costs'!B39&lt;assumptions!$D$84,assumptions!$E$84,IF(B39&lt;assumptions!$D$85,assumptions!$E$85))))</f>
        <v>2024/25</v>
      </c>
      <c r="F39" s="17"/>
      <c r="G39" s="5">
        <f>+Summary!$D$7/52</f>
        <v>0</v>
      </c>
      <c r="H39" s="5">
        <f>IF((G39-AH39/52)&gt;0,('Phased costs'!G39-AH39/52)*AI39,0)</f>
        <v>0</v>
      </c>
      <c r="I39" s="5">
        <f t="shared" si="3"/>
        <v>0</v>
      </c>
      <c r="J39" s="3">
        <f>IF(B39&lt;assumptions!$E$52,assumptions!$D$51,assumptions!$D$52)</f>
        <v>0.22600000000000001</v>
      </c>
      <c r="K39" s="3">
        <f>IF(B39&lt;assumptions!$E$50,assumptions!$D$48,assumptions!$D$50)</f>
        <v>0.21099999999999999</v>
      </c>
      <c r="L39" s="3">
        <f>IF(B39&lt;assumptions!$E$53,0,assumptions!$D$53)</f>
        <v>0</v>
      </c>
      <c r="M39" s="5">
        <f>IF(Summary!$D$15="LGPS",'Phased costs'!J39*'Phased costs'!G39,IF(Summary!$D$15="USS",'Phased costs'!K39*'Phased costs'!G39,L39*'Phased costs'!G39))</f>
        <v>0</v>
      </c>
      <c r="N39" s="20">
        <f t="shared" si="4"/>
        <v>0</v>
      </c>
      <c r="O39" s="65">
        <f>VLOOKUP(Summary!$D$7,assumptions!$D$76:$E$78,2,TRUE)</f>
        <v>5.5E-2</v>
      </c>
      <c r="P39" s="65">
        <f>IF(B39&lt;assumptions!$E$48,assumptions!$D$73,assumptions!$D$75)</f>
        <v>9.6000000000000002E-2</v>
      </c>
      <c r="Q39" s="65">
        <f>assumptions!$E$79</f>
        <v>0.06</v>
      </c>
      <c r="R39" s="66">
        <f>IF(Summary!$D$15="LGPS",'Phased costs'!O39,IF(Summary!$D$15="USS",'Phased costs'!P39,Q39))*G39</f>
        <v>0</v>
      </c>
      <c r="S39" s="17" t="str">
        <f>IF(A39&lt;=Summary!$D$13,"L","")</f>
        <v/>
      </c>
      <c r="T39" s="5" t="str">
        <f>IF(OR(Summary!$D$18="SMP",Summary!$D$18="SAP"),VLOOKUP(A39,assumptions!$F$22:$G$24,2,TRUE),IF(OR(Summary!$D$18="OMP/OShPP",Summary!$D$18="OAP"),VLOOKUP('Phased costs'!A39,assumptions!$F$33:$G$36,2,TRUE),IF(Summary!$D$18="ShPP",VLOOKUP(A39,assumptions!$F$28:$G$29,2,TRUE),"n/a")))</f>
        <v>n/a</v>
      </c>
      <c r="U39" s="5">
        <f>IF(T39="n/a",0,IF((T39-AH39/52)&gt;0,('Phased costs'!T39-AH39/52)*AI39,0))</f>
        <v>0</v>
      </c>
      <c r="V39" s="5">
        <f t="shared" si="6"/>
        <v>0</v>
      </c>
      <c r="W39" s="3">
        <f>IF(B39&lt;assumptions!$E$52,assumptions!$D$51,assumptions!$D$52)</f>
        <v>0.22600000000000001</v>
      </c>
      <c r="X39" s="3">
        <f>IF(B39&lt;assumptions!$E$50,assumptions!$D$48,assumptions!$D$50)</f>
        <v>0.21099999999999999</v>
      </c>
      <c r="Y39" s="3">
        <f>IF(B39&lt;assumptions!$E$53,0,assumptions!$D$53)</f>
        <v>0</v>
      </c>
      <c r="Z39" s="66">
        <f>IF(T39="n/a",0,IF(T39&gt;0,(R39-IF(Summary!$D$15="LGPS",'Phased costs'!O39,IF(Summary!$D$15="USS",'Phased costs'!P39,Q39))*T39),0))</f>
        <v>0</v>
      </c>
      <c r="AA39" s="5">
        <f t="shared" si="7"/>
        <v>0</v>
      </c>
      <c r="AB39" s="20">
        <f>IF(T39="n/a",0,IF(Summary!$D$9="Shared Parental",VLOOKUP(A39,assumptions!$F$28:$G$29,2,TRUE)*-0.92,VLOOKUP(A39,assumptions!$F$22:$G$24,2,TRUE)*-0.92))</f>
        <v>0</v>
      </c>
      <c r="AC39" s="21">
        <f t="shared" ref="AC39:AC58" si="10">SUM(T39:V39,Z39:AB39)</f>
        <v>0</v>
      </c>
      <c r="AE39" s="5" t="e">
        <f>B39&gt;=Summary!#REF!</f>
        <v>#REF!</v>
      </c>
      <c r="AF39" s="5" t="e">
        <f>B39&lt;(Summary!#REF!+Summary!#REF!*7)</f>
        <v>#REF!</v>
      </c>
      <c r="AH39" s="104">
        <f>IF($B39&gt;assumptions!$F$59,assumptions!$D$60,assumptions!$D$59)</f>
        <v>9100</v>
      </c>
      <c r="AI39" s="65">
        <f>IF($B39&gt;assumptions!$F$59,assumptions!$D$56,assumptions!$D$55)</f>
        <v>0.13800000000000001</v>
      </c>
    </row>
    <row r="40" spans="1:35" x14ac:dyDescent="0.3">
      <c r="A40" s="1">
        <f t="shared" si="8"/>
        <v>34</v>
      </c>
      <c r="B40" s="17">
        <f t="shared" si="9"/>
        <v>231</v>
      </c>
      <c r="C40" s="107">
        <f t="shared" si="0"/>
        <v>1900</v>
      </c>
      <c r="D40" s="17">
        <f t="shared" si="2"/>
        <v>213</v>
      </c>
      <c r="E40" s="17" t="str">
        <f>IF(B40&lt;assumptions!$D$82,assumptions!$E$82,IF('Phased costs'!B40&lt;assumptions!$D$83,assumptions!$E$83,IF('Phased costs'!B40&lt;assumptions!$D$84,assumptions!$E$84,IF(B40&lt;assumptions!$D$85,assumptions!$E$85))))</f>
        <v>2024/25</v>
      </c>
      <c r="F40" s="17"/>
      <c r="G40" s="5">
        <f>+Summary!$D$7/52</f>
        <v>0</v>
      </c>
      <c r="H40" s="5">
        <f>IF((G40-AH40/52)&gt;0,('Phased costs'!G40-AH40/52)*AI40,0)</f>
        <v>0</v>
      </c>
      <c r="I40" s="5">
        <f t="shared" si="3"/>
        <v>0</v>
      </c>
      <c r="J40" s="3">
        <f>IF(B40&lt;assumptions!$E$52,assumptions!$D$51,assumptions!$D$52)</f>
        <v>0.22600000000000001</v>
      </c>
      <c r="K40" s="3">
        <f>IF(B40&lt;assumptions!$E$50,assumptions!$D$48,assumptions!$D$50)</f>
        <v>0.21099999999999999</v>
      </c>
      <c r="L40" s="3">
        <f>IF(B40&lt;assumptions!$E$53,0,assumptions!$D$53)</f>
        <v>0</v>
      </c>
      <c r="M40" s="5">
        <f>IF(Summary!$D$15="LGPS",'Phased costs'!J40*'Phased costs'!G40,IF(Summary!$D$15="USS",'Phased costs'!K40*'Phased costs'!G40,L40*'Phased costs'!G40))</f>
        <v>0</v>
      </c>
      <c r="N40" s="20">
        <f t="shared" si="4"/>
        <v>0</v>
      </c>
      <c r="O40" s="65">
        <f>VLOOKUP(Summary!$D$7,assumptions!$D$76:$E$78,2,TRUE)</f>
        <v>5.5E-2</v>
      </c>
      <c r="P40" s="65">
        <f>IF(B40&lt;assumptions!$E$48,assumptions!$D$73,assumptions!$D$75)</f>
        <v>9.6000000000000002E-2</v>
      </c>
      <c r="Q40" s="65">
        <f>assumptions!$E$79</f>
        <v>0.06</v>
      </c>
      <c r="R40" s="66">
        <f>IF(Summary!$D$15="LGPS",'Phased costs'!O40,IF(Summary!$D$15="USS",'Phased costs'!P40,Q40))*G40</f>
        <v>0</v>
      </c>
      <c r="S40" s="17" t="str">
        <f>IF(A40&lt;=Summary!$D$13,"L","")</f>
        <v/>
      </c>
      <c r="T40" s="5" t="str">
        <f>IF(OR(Summary!$D$18="SMP",Summary!$D$18="SAP"),VLOOKUP(A40,assumptions!$F$22:$G$24,2,TRUE),IF(OR(Summary!$D$18="OMP/OShPP",Summary!$D$18="OAP"),VLOOKUP('Phased costs'!A40,assumptions!$F$33:$G$36,2,TRUE),IF(Summary!$D$18="ShPP",VLOOKUP(A40,assumptions!$F$28:$G$29,2,TRUE),"n/a")))</f>
        <v>n/a</v>
      </c>
      <c r="U40" s="5">
        <f>IF(T40="n/a",0,IF((T40-AH40/52)&gt;0,('Phased costs'!T40-AH40/52)*AI40,0))</f>
        <v>0</v>
      </c>
      <c r="V40" s="5">
        <f t="shared" si="6"/>
        <v>0</v>
      </c>
      <c r="W40" s="3">
        <f>IF(B40&lt;assumptions!$E$52,assumptions!$D$51,assumptions!$D$52)</f>
        <v>0.22600000000000001</v>
      </c>
      <c r="X40" s="3">
        <f>IF(B40&lt;assumptions!$E$50,assumptions!$D$48,assumptions!$D$50)</f>
        <v>0.21099999999999999</v>
      </c>
      <c r="Y40" s="3">
        <f>IF(B40&lt;assumptions!$E$53,0,assumptions!$D$53)</f>
        <v>0</v>
      </c>
      <c r="Z40" s="66">
        <f>IF(T40="n/a",0,IF(T40&gt;0,(R40-IF(Summary!$D$15="LGPS",'Phased costs'!O40,IF(Summary!$D$15="USS",'Phased costs'!P40,Q40))*T40),0))</f>
        <v>0</v>
      </c>
      <c r="AA40" s="5">
        <f t="shared" si="7"/>
        <v>0</v>
      </c>
      <c r="AB40" s="20">
        <f>IF(T40="n/a",0,IF(Summary!$D$9="Shared Parental",VLOOKUP(A40,assumptions!$F$28:$G$29,2,TRUE)*-0.92,VLOOKUP(A40,assumptions!$F$22:$G$24,2,TRUE)*-0.92))</f>
        <v>0</v>
      </c>
      <c r="AC40" s="21">
        <f t="shared" si="10"/>
        <v>0</v>
      </c>
      <c r="AE40" s="5" t="e">
        <f>B40&gt;=Summary!#REF!</f>
        <v>#REF!</v>
      </c>
      <c r="AF40" s="5" t="e">
        <f>B40&lt;(Summary!#REF!+Summary!#REF!*7)</f>
        <v>#REF!</v>
      </c>
      <c r="AH40" s="104">
        <f>IF($B40&gt;assumptions!$F$59,assumptions!$D$60,assumptions!$D$59)</f>
        <v>9100</v>
      </c>
      <c r="AI40" s="65">
        <f>IF($B40&gt;assumptions!$F$59,assumptions!$D$56,assumptions!$D$55)</f>
        <v>0.13800000000000001</v>
      </c>
    </row>
    <row r="41" spans="1:35" x14ac:dyDescent="0.3">
      <c r="A41" s="1">
        <f t="shared" si="8"/>
        <v>35</v>
      </c>
      <c r="B41" s="17">
        <f t="shared" si="9"/>
        <v>238</v>
      </c>
      <c r="C41" s="107">
        <f t="shared" si="0"/>
        <v>1900</v>
      </c>
      <c r="D41" s="17">
        <f>DATEVALUE("31 July"&amp;C41)</f>
        <v>213</v>
      </c>
      <c r="E41" s="17" t="str">
        <f>IF(B41&lt;assumptions!$D$82,assumptions!$E$82,IF('Phased costs'!B41&lt;assumptions!$D$83,assumptions!$E$83,IF('Phased costs'!B41&lt;assumptions!$D$84,assumptions!$E$84,IF(B41&lt;assumptions!$D$85,assumptions!$E$85))))</f>
        <v>2024/25</v>
      </c>
      <c r="F41" s="17"/>
      <c r="G41" s="5">
        <f>+Summary!$D$7/52</f>
        <v>0</v>
      </c>
      <c r="H41" s="5">
        <f>IF((G41-AH41/52)&gt;0,('Phased costs'!G41-AH41/52)*AI41,0)</f>
        <v>0</v>
      </c>
      <c r="I41" s="5">
        <f t="shared" si="3"/>
        <v>0</v>
      </c>
      <c r="J41" s="3">
        <f>IF(B41&lt;assumptions!$E$52,assumptions!$D$51,assumptions!$D$52)</f>
        <v>0.22600000000000001</v>
      </c>
      <c r="K41" s="3">
        <f>IF(B41&lt;assumptions!$E$50,assumptions!$D$48,assumptions!$D$50)</f>
        <v>0.21099999999999999</v>
      </c>
      <c r="L41" s="3">
        <f>IF(B41&lt;assumptions!$E$53,0,assumptions!$D$53)</f>
        <v>0</v>
      </c>
      <c r="M41" s="5">
        <f>IF(Summary!$D$15="LGPS",'Phased costs'!J41*'Phased costs'!G41,IF(Summary!$D$15="USS",'Phased costs'!K41*'Phased costs'!G41,L41*'Phased costs'!G41))</f>
        <v>0</v>
      </c>
      <c r="N41" s="20">
        <f t="shared" si="4"/>
        <v>0</v>
      </c>
      <c r="O41" s="65">
        <f>VLOOKUP(Summary!$D$7,assumptions!$D$76:$E$78,2,TRUE)</f>
        <v>5.5E-2</v>
      </c>
      <c r="P41" s="65">
        <f>IF(B41&lt;assumptions!$E$48,assumptions!$D$73,assumptions!$D$75)</f>
        <v>9.6000000000000002E-2</v>
      </c>
      <c r="Q41" s="65">
        <f>assumptions!$E$79</f>
        <v>0.06</v>
      </c>
      <c r="R41" s="66">
        <f>IF(Summary!$D$15="LGPS",'Phased costs'!O41,IF(Summary!$D$15="USS",'Phased costs'!P41,Q41))*G41</f>
        <v>0</v>
      </c>
      <c r="S41" s="17" t="str">
        <f>IF(A41&lt;=Summary!$D$13,"L","")</f>
        <v/>
      </c>
      <c r="T41" s="5" t="str">
        <f>IF(OR(Summary!$D$18="SMP",Summary!$D$18="SAP"),VLOOKUP(A41,assumptions!$F$22:$G$24,2,TRUE),IF(OR(Summary!$D$18="OMP/OShPP",Summary!$D$18="OAP"),VLOOKUP('Phased costs'!A41,assumptions!$F$33:$G$36,2,TRUE),IF(Summary!$D$18="ShPP",VLOOKUP(A41,assumptions!$F$28:$G$29,2,TRUE),"n/a")))</f>
        <v>n/a</v>
      </c>
      <c r="U41" s="5">
        <f>IF(T41="n/a",0,IF((T41-AH41/52)&gt;0,('Phased costs'!T41-AH41/52)*AI41,0))</f>
        <v>0</v>
      </c>
      <c r="V41" s="5">
        <f t="shared" si="6"/>
        <v>0</v>
      </c>
      <c r="W41" s="3">
        <f>IF(B41&lt;assumptions!$E$52,assumptions!$D$51,assumptions!$D$52)</f>
        <v>0.22600000000000001</v>
      </c>
      <c r="X41" s="3">
        <f>IF(B41&lt;assumptions!$E$50,assumptions!$D$48,assumptions!$D$50)</f>
        <v>0.21099999999999999</v>
      </c>
      <c r="Y41" s="3">
        <f>IF(B41&lt;assumptions!$E$53,0,assumptions!$D$53)</f>
        <v>0</v>
      </c>
      <c r="Z41" s="66">
        <f>IF(T41="n/a",0,IF(T41&gt;0,(R41-IF(Summary!$D$15="LGPS",'Phased costs'!O41,IF(Summary!$D$15="USS",'Phased costs'!P41,Q41))*T41),0))</f>
        <v>0</v>
      </c>
      <c r="AA41" s="5">
        <f t="shared" si="7"/>
        <v>0</v>
      </c>
      <c r="AB41" s="20">
        <f>IF(T41="n/a",0,IF(Summary!$D$9="Shared Parental",VLOOKUP(A41,assumptions!$F$28:$G$29,2,TRUE)*-0.92,VLOOKUP(A41,assumptions!$F$22:$G$24,2,TRUE)*-0.92))</f>
        <v>0</v>
      </c>
      <c r="AC41" s="21">
        <f t="shared" si="10"/>
        <v>0</v>
      </c>
      <c r="AE41" s="5" t="e">
        <f>B41&gt;=Summary!#REF!</f>
        <v>#REF!</v>
      </c>
      <c r="AF41" s="5" t="e">
        <f>B41&lt;(Summary!#REF!+Summary!#REF!*7)</f>
        <v>#REF!</v>
      </c>
      <c r="AH41" s="104">
        <f>IF($B41&gt;assumptions!$F$59,assumptions!$D$60,assumptions!$D$59)</f>
        <v>9100</v>
      </c>
      <c r="AI41" s="65">
        <f>IF($B41&gt;assumptions!$F$59,assumptions!$D$56,assumptions!$D$55)</f>
        <v>0.13800000000000001</v>
      </c>
    </row>
    <row r="42" spans="1:35" x14ac:dyDescent="0.3">
      <c r="A42" s="1">
        <f t="shared" si="8"/>
        <v>36</v>
      </c>
      <c r="B42" s="17">
        <f t="shared" si="9"/>
        <v>245</v>
      </c>
      <c r="C42" s="107">
        <f t="shared" si="0"/>
        <v>1900</v>
      </c>
      <c r="D42" s="17">
        <f t="shared" si="2"/>
        <v>213</v>
      </c>
      <c r="E42" s="17" t="str">
        <f>IF(B42&lt;assumptions!$D$82,assumptions!$E$82,IF('Phased costs'!B42&lt;assumptions!$D$83,assumptions!$E$83,IF('Phased costs'!B42&lt;assumptions!$D$84,assumptions!$E$84,IF(B42&lt;assumptions!$D$85,assumptions!$E$85))))</f>
        <v>2024/25</v>
      </c>
      <c r="F42" s="17"/>
      <c r="G42" s="5">
        <f>+Summary!$D$7/52</f>
        <v>0</v>
      </c>
      <c r="H42" s="5">
        <f>IF((G42-AH42/52)&gt;0,('Phased costs'!G42-AH42/52)*AI42,0)</f>
        <v>0</v>
      </c>
      <c r="I42" s="5">
        <f t="shared" si="3"/>
        <v>0</v>
      </c>
      <c r="J42" s="3">
        <f>IF(B42&lt;assumptions!$E$52,assumptions!$D$51,assumptions!$D$52)</f>
        <v>0.22600000000000001</v>
      </c>
      <c r="K42" s="3">
        <f>IF(B42&lt;assumptions!$E$50,assumptions!$D$48,assumptions!$D$50)</f>
        <v>0.21099999999999999</v>
      </c>
      <c r="L42" s="3">
        <f>IF(B42&lt;assumptions!$E$53,0,assumptions!$D$53)</f>
        <v>0</v>
      </c>
      <c r="M42" s="5">
        <f>IF(Summary!$D$15="LGPS",'Phased costs'!J42*'Phased costs'!G42,IF(Summary!$D$15="USS",'Phased costs'!K42*'Phased costs'!G42,L42*'Phased costs'!G42))</f>
        <v>0</v>
      </c>
      <c r="N42" s="20">
        <f t="shared" si="4"/>
        <v>0</v>
      </c>
      <c r="O42" s="65">
        <f>VLOOKUP(Summary!$D$7,assumptions!$D$76:$E$78,2,TRUE)</f>
        <v>5.5E-2</v>
      </c>
      <c r="P42" s="65">
        <f>IF(B42&lt;assumptions!$E$48,assumptions!$D$73,assumptions!$D$75)</f>
        <v>9.6000000000000002E-2</v>
      </c>
      <c r="Q42" s="65">
        <f>assumptions!$E$79</f>
        <v>0.06</v>
      </c>
      <c r="R42" s="66">
        <f>IF(Summary!$D$15="LGPS",'Phased costs'!O42,IF(Summary!$D$15="USS",'Phased costs'!P42,Q42))*G42</f>
        <v>0</v>
      </c>
      <c r="S42" s="17" t="str">
        <f>IF(A42&lt;=Summary!$D$13,"L","")</f>
        <v/>
      </c>
      <c r="T42" s="5" t="str">
        <f>IF(OR(Summary!$D$18="SMP",Summary!$D$18="SAP"),VLOOKUP(A42,assumptions!$F$22:$G$24,2,TRUE),IF(OR(Summary!$D$18="OMP/OShPP",Summary!$D$18="OAP"),VLOOKUP('Phased costs'!A42,assumptions!$F$33:$G$36,2,TRUE),IF(Summary!$D$18="ShPP",VLOOKUP(A42,assumptions!$F$28:$G$29,2,TRUE),"n/a")))</f>
        <v>n/a</v>
      </c>
      <c r="U42" s="5">
        <f>IF(T42="n/a",0,IF((T42-AH42/52)&gt;0,('Phased costs'!T42-AH42/52)*AI42,0))</f>
        <v>0</v>
      </c>
      <c r="V42" s="5">
        <f t="shared" si="6"/>
        <v>0</v>
      </c>
      <c r="W42" s="3">
        <f>IF(B42&lt;assumptions!$E$52,assumptions!$D$51,assumptions!$D$52)</f>
        <v>0.22600000000000001</v>
      </c>
      <c r="X42" s="3">
        <f>IF(B42&lt;assumptions!$E$50,assumptions!$D$48,assumptions!$D$50)</f>
        <v>0.21099999999999999</v>
      </c>
      <c r="Y42" s="3">
        <f>IF(B42&lt;assumptions!$E$53,0,assumptions!$D$53)</f>
        <v>0</v>
      </c>
      <c r="Z42" s="66">
        <f>IF(T42="n/a",0,IF(T42&gt;0,(R42-IF(Summary!$D$15="LGPS",'Phased costs'!O42,IF(Summary!$D$15="USS",'Phased costs'!P42,Q42))*T42),0))</f>
        <v>0</v>
      </c>
      <c r="AA42" s="5">
        <f t="shared" si="7"/>
        <v>0</v>
      </c>
      <c r="AB42" s="20">
        <f>IF(T42="n/a",0,IF(Summary!$D$9="Shared Parental",VLOOKUP(A42,assumptions!$F$28:$G$29,2,TRUE)*-0.92,VLOOKUP(A42,assumptions!$F$22:$G$24,2,TRUE)*-0.92))</f>
        <v>0</v>
      </c>
      <c r="AC42" s="21">
        <f t="shared" si="10"/>
        <v>0</v>
      </c>
      <c r="AE42" s="5" t="e">
        <f>B42&gt;=Summary!#REF!</f>
        <v>#REF!</v>
      </c>
      <c r="AF42" s="5" t="e">
        <f>B42&lt;(Summary!#REF!+Summary!#REF!*7)</f>
        <v>#REF!</v>
      </c>
      <c r="AH42" s="104">
        <f>IF($B42&gt;assumptions!$F$59,assumptions!$D$60,assumptions!$D$59)</f>
        <v>9100</v>
      </c>
      <c r="AI42" s="65">
        <f>IF($B42&gt;assumptions!$F$59,assumptions!$D$56,assumptions!$D$55)</f>
        <v>0.13800000000000001</v>
      </c>
    </row>
    <row r="43" spans="1:35" x14ac:dyDescent="0.3">
      <c r="A43" s="1">
        <f t="shared" si="8"/>
        <v>37</v>
      </c>
      <c r="B43" s="17">
        <f t="shared" si="9"/>
        <v>252</v>
      </c>
      <c r="C43" s="107">
        <f t="shared" si="0"/>
        <v>1900</v>
      </c>
      <c r="D43" s="17">
        <f t="shared" si="2"/>
        <v>213</v>
      </c>
      <c r="E43" s="17" t="str">
        <f>IF(B43&lt;assumptions!$D$82,assumptions!$E$82,IF('Phased costs'!B43&lt;assumptions!$D$83,assumptions!$E$83,IF('Phased costs'!B43&lt;assumptions!$D$84,assumptions!$E$84,IF(B43&lt;assumptions!$D$85,assumptions!$E$85))))</f>
        <v>2024/25</v>
      </c>
      <c r="F43" s="17"/>
      <c r="G43" s="5">
        <f>+Summary!$D$7/52</f>
        <v>0</v>
      </c>
      <c r="H43" s="5">
        <f>IF((G43-AH43/52)&gt;0,('Phased costs'!G43-AH43/52)*AI43,0)</f>
        <v>0</v>
      </c>
      <c r="I43" s="5">
        <f t="shared" si="3"/>
        <v>0</v>
      </c>
      <c r="J43" s="3">
        <f>IF(B43&lt;assumptions!$E$52,assumptions!$D$51,assumptions!$D$52)</f>
        <v>0.22600000000000001</v>
      </c>
      <c r="K43" s="3">
        <f>IF(B43&lt;assumptions!$E$50,assumptions!$D$48,assumptions!$D$50)</f>
        <v>0.21099999999999999</v>
      </c>
      <c r="L43" s="3">
        <f>IF(B43&lt;assumptions!$E$53,0,assumptions!$D$53)</f>
        <v>0</v>
      </c>
      <c r="M43" s="5">
        <f>IF(Summary!$D$15="LGPS",'Phased costs'!J43*'Phased costs'!G43,IF(Summary!$D$15="USS",'Phased costs'!K43*'Phased costs'!G43,L43*'Phased costs'!G43))</f>
        <v>0</v>
      </c>
      <c r="N43" s="20">
        <f t="shared" si="4"/>
        <v>0</v>
      </c>
      <c r="O43" s="65">
        <f>VLOOKUP(Summary!$D$7,assumptions!$D$76:$E$78,2,TRUE)</f>
        <v>5.5E-2</v>
      </c>
      <c r="P43" s="65">
        <f>IF(B43&lt;assumptions!$E$48,assumptions!$D$73,assumptions!$D$75)</f>
        <v>9.6000000000000002E-2</v>
      </c>
      <c r="Q43" s="65">
        <f>assumptions!$E$79</f>
        <v>0.06</v>
      </c>
      <c r="R43" s="66">
        <f>IF(Summary!$D$15="LGPS",'Phased costs'!O43,IF(Summary!$D$15="USS",'Phased costs'!P43,Q43))*G43</f>
        <v>0</v>
      </c>
      <c r="S43" s="17" t="str">
        <f>IF(A43&lt;=Summary!$D$13,"L","")</f>
        <v/>
      </c>
      <c r="T43" s="5" t="str">
        <f>IF(OR(Summary!$D$18="SMP",Summary!$D$18="SAP"),VLOOKUP(A43,assumptions!$F$22:$G$24,2,TRUE),IF(OR(Summary!$D$18="OMP/OShPP",Summary!$D$18="OAP"),VLOOKUP('Phased costs'!A43,assumptions!$F$33:$G$36,2,TRUE),IF(Summary!$D$18="ShPP",VLOOKUP(A43,assumptions!$F$28:$G$29,2,TRUE),"n/a")))</f>
        <v>n/a</v>
      </c>
      <c r="U43" s="5">
        <f>IF(T43="n/a",0,IF((T43-AH43/52)&gt;0,('Phased costs'!T43-AH43/52)*AI43,0))</f>
        <v>0</v>
      </c>
      <c r="V43" s="5">
        <f t="shared" si="6"/>
        <v>0</v>
      </c>
      <c r="W43" s="3">
        <f>IF(B43&lt;assumptions!$E$52,assumptions!$D$51,assumptions!$D$52)</f>
        <v>0.22600000000000001</v>
      </c>
      <c r="X43" s="3">
        <f>IF(B43&lt;assumptions!$E$50,assumptions!$D$48,assumptions!$D$50)</f>
        <v>0.21099999999999999</v>
      </c>
      <c r="Y43" s="3">
        <f>IF(B43&lt;assumptions!$E$53,0,assumptions!$D$53)</f>
        <v>0</v>
      </c>
      <c r="Z43" s="66">
        <f>IF(T43="n/a",0,IF(T43&gt;0,(R43-IF(Summary!$D$15="LGPS",'Phased costs'!O43,IF(Summary!$D$15="USS",'Phased costs'!P43,Q43))*T43),0))</f>
        <v>0</v>
      </c>
      <c r="AA43" s="5">
        <f t="shared" si="7"/>
        <v>0</v>
      </c>
      <c r="AB43" s="20">
        <f>IF(T43="n/a",0,IF(Summary!$D$9="Shared Parental",VLOOKUP(A43,assumptions!$F$28:$G$29,2,TRUE)*-0.92,VLOOKUP(A43,assumptions!$F$22:$G$24,2,TRUE)*-0.92))</f>
        <v>0</v>
      </c>
      <c r="AC43" s="21">
        <f t="shared" si="10"/>
        <v>0</v>
      </c>
      <c r="AE43" s="5" t="e">
        <f>B43&gt;=Summary!#REF!</f>
        <v>#REF!</v>
      </c>
      <c r="AF43" s="5" t="e">
        <f>B43&lt;(Summary!#REF!+Summary!#REF!*7)</f>
        <v>#REF!</v>
      </c>
      <c r="AH43" s="104">
        <f>IF($B43&gt;assumptions!$F$59,assumptions!$D$60,assumptions!$D$59)</f>
        <v>9100</v>
      </c>
      <c r="AI43" s="65">
        <f>IF($B43&gt;assumptions!$F$59,assumptions!$D$56,assumptions!$D$55)</f>
        <v>0.13800000000000001</v>
      </c>
    </row>
    <row r="44" spans="1:35" x14ac:dyDescent="0.3">
      <c r="A44" s="1">
        <f t="shared" si="8"/>
        <v>38</v>
      </c>
      <c r="B44" s="17">
        <f t="shared" si="9"/>
        <v>259</v>
      </c>
      <c r="C44" s="107">
        <f t="shared" si="0"/>
        <v>1900</v>
      </c>
      <c r="D44" s="17">
        <f t="shared" si="2"/>
        <v>213</v>
      </c>
      <c r="E44" s="17" t="str">
        <f>IF(B44&lt;assumptions!$D$82,assumptions!$E$82,IF('Phased costs'!B44&lt;assumptions!$D$83,assumptions!$E$83,IF('Phased costs'!B44&lt;assumptions!$D$84,assumptions!$E$84,IF(B44&lt;assumptions!$D$85,assumptions!$E$85))))</f>
        <v>2024/25</v>
      </c>
      <c r="F44" s="17"/>
      <c r="G44" s="5">
        <f>+Summary!$D$7/52</f>
        <v>0</v>
      </c>
      <c r="H44" s="5">
        <f>IF((G44-AH44/52)&gt;0,('Phased costs'!G44-AH44/52)*AI44,0)</f>
        <v>0</v>
      </c>
      <c r="I44" s="5">
        <f t="shared" si="3"/>
        <v>0</v>
      </c>
      <c r="J44" s="3">
        <f>IF(B44&lt;assumptions!$E$52,assumptions!$D$51,assumptions!$D$52)</f>
        <v>0.22600000000000001</v>
      </c>
      <c r="K44" s="3">
        <f>IF(B44&lt;assumptions!$E$50,assumptions!$D$48,assumptions!$D$50)</f>
        <v>0.21099999999999999</v>
      </c>
      <c r="L44" s="3">
        <f>IF(B44&lt;assumptions!$E$53,0,assumptions!$D$53)</f>
        <v>0</v>
      </c>
      <c r="M44" s="5">
        <f>IF(Summary!$D$15="LGPS",'Phased costs'!J44*'Phased costs'!G44,IF(Summary!$D$15="USS",'Phased costs'!K44*'Phased costs'!G44,L44*'Phased costs'!G44))</f>
        <v>0</v>
      </c>
      <c r="N44" s="20">
        <f t="shared" si="4"/>
        <v>0</v>
      </c>
      <c r="O44" s="65">
        <f>VLOOKUP(Summary!$D$7,assumptions!$D$76:$E$78,2,TRUE)</f>
        <v>5.5E-2</v>
      </c>
      <c r="P44" s="65">
        <f>IF(B44&lt;assumptions!$E$48,assumptions!$D$73,assumptions!$D$75)</f>
        <v>9.6000000000000002E-2</v>
      </c>
      <c r="Q44" s="65">
        <f>assumptions!$E$79</f>
        <v>0.06</v>
      </c>
      <c r="R44" s="66">
        <f>IF(Summary!$D$15="LGPS",'Phased costs'!O44,IF(Summary!$D$15="USS",'Phased costs'!P44,Q44))*G44</f>
        <v>0</v>
      </c>
      <c r="S44" s="17" t="str">
        <f>IF(A44&lt;=Summary!$D$13,"L","")</f>
        <v/>
      </c>
      <c r="T44" s="5" t="str">
        <f>IF(OR(Summary!$D$18="SMP",Summary!$D$18="SAP"),VLOOKUP(A44,assumptions!$F$22:$G$24,2,TRUE),IF(OR(Summary!$D$18="OMP/OShPP",Summary!$D$18="OAP"),VLOOKUP('Phased costs'!A44,assumptions!$F$33:$G$36,2,TRUE),IF(Summary!$D$18="ShPP",VLOOKUP(A44,assumptions!$F$28:$G$29,2,TRUE),"n/a")))</f>
        <v>n/a</v>
      </c>
      <c r="U44" s="5">
        <f>IF(T44="n/a",0,IF((T44-AH44/52)&gt;0,('Phased costs'!T44-AH44/52)*AI44,0))</f>
        <v>0</v>
      </c>
      <c r="V44" s="5">
        <f t="shared" si="6"/>
        <v>0</v>
      </c>
      <c r="W44" s="3">
        <f>IF(B44&lt;assumptions!$E$52,assumptions!$D$51,assumptions!$D$52)</f>
        <v>0.22600000000000001</v>
      </c>
      <c r="X44" s="3">
        <f>IF(B44&lt;assumptions!$E$50,assumptions!$D$48,assumptions!$D$50)</f>
        <v>0.21099999999999999</v>
      </c>
      <c r="Y44" s="3">
        <f>IF(B44&lt;assumptions!$E$53,0,assumptions!$D$53)</f>
        <v>0</v>
      </c>
      <c r="Z44" s="66">
        <f>IF(T44="n/a",0,IF(T44&gt;0,(R44-IF(Summary!$D$15="LGPS",'Phased costs'!O44,IF(Summary!$D$15="USS",'Phased costs'!P44,Q44))*T44),0))</f>
        <v>0</v>
      </c>
      <c r="AA44" s="5">
        <f t="shared" si="7"/>
        <v>0</v>
      </c>
      <c r="AB44" s="20">
        <f>IF(T44="n/a",0,IF(Summary!$D$9="Shared Parental",VLOOKUP(A44,assumptions!$F$28:$G$29,2,TRUE)*-0.92,VLOOKUP(A44,assumptions!$F$22:$G$24,2,TRUE)*-0.92))</f>
        <v>0</v>
      </c>
      <c r="AC44" s="21">
        <f t="shared" si="10"/>
        <v>0</v>
      </c>
      <c r="AE44" s="5" t="e">
        <f>B44&gt;=Summary!#REF!</f>
        <v>#REF!</v>
      </c>
      <c r="AF44" s="5" t="e">
        <f>B44&lt;(Summary!#REF!+Summary!#REF!*7)</f>
        <v>#REF!</v>
      </c>
      <c r="AH44" s="104">
        <f>IF($B44&gt;assumptions!$F$59,assumptions!$D$60,assumptions!$D$59)</f>
        <v>9100</v>
      </c>
      <c r="AI44" s="65">
        <f>IF($B44&gt;assumptions!$F$59,assumptions!$D$56,assumptions!$D$55)</f>
        <v>0.13800000000000001</v>
      </c>
    </row>
    <row r="45" spans="1:35" x14ac:dyDescent="0.3">
      <c r="A45" s="1">
        <f t="shared" si="8"/>
        <v>39</v>
      </c>
      <c r="B45" s="17">
        <f t="shared" si="9"/>
        <v>266</v>
      </c>
      <c r="C45" s="107">
        <f t="shared" si="0"/>
        <v>1900</v>
      </c>
      <c r="D45" s="17">
        <f t="shared" si="2"/>
        <v>213</v>
      </c>
      <c r="E45" s="17" t="str">
        <f>IF(B45&lt;assumptions!$D$82,assumptions!$E$82,IF('Phased costs'!B45&lt;assumptions!$D$83,assumptions!$E$83,IF('Phased costs'!B45&lt;assumptions!$D$84,assumptions!$E$84,IF(B45&lt;assumptions!$D$85,assumptions!$E$85))))</f>
        <v>2024/25</v>
      </c>
      <c r="F45" s="17"/>
      <c r="G45" s="5">
        <f>+Summary!$D$7/52</f>
        <v>0</v>
      </c>
      <c r="H45" s="5">
        <f>IF((G45-AH45/52)&gt;0,('Phased costs'!G45-AH45/52)*AI45,0)</f>
        <v>0</v>
      </c>
      <c r="I45" s="5">
        <f t="shared" si="3"/>
        <v>0</v>
      </c>
      <c r="J45" s="3">
        <f>IF(B45&lt;assumptions!$E$52,assumptions!$D$51,assumptions!$D$52)</f>
        <v>0.22600000000000001</v>
      </c>
      <c r="K45" s="3">
        <f>IF(B45&lt;assumptions!$E$50,assumptions!$D$48,assumptions!$D$50)</f>
        <v>0.21099999999999999</v>
      </c>
      <c r="L45" s="3">
        <f>IF(B45&lt;assumptions!$E$53,0,assumptions!$D$53)</f>
        <v>0</v>
      </c>
      <c r="M45" s="5">
        <f>IF(Summary!$D$15="LGPS",'Phased costs'!J45*'Phased costs'!G45,IF(Summary!$D$15="USS",'Phased costs'!K45*'Phased costs'!G45,L45*'Phased costs'!G45))</f>
        <v>0</v>
      </c>
      <c r="N45" s="20">
        <f t="shared" si="4"/>
        <v>0</v>
      </c>
      <c r="O45" s="65">
        <f>VLOOKUP(Summary!$D$7,assumptions!$D$76:$E$78,2,TRUE)</f>
        <v>5.5E-2</v>
      </c>
      <c r="P45" s="65">
        <f>IF(B45&lt;assumptions!$E$48,assumptions!$D$73,assumptions!$D$75)</f>
        <v>9.6000000000000002E-2</v>
      </c>
      <c r="Q45" s="65">
        <f>assumptions!$E$79</f>
        <v>0.06</v>
      </c>
      <c r="R45" s="66">
        <f>IF(Summary!$D$15="LGPS",'Phased costs'!O45,IF(Summary!$D$15="USS",'Phased costs'!P45,Q45))*G45</f>
        <v>0</v>
      </c>
      <c r="S45" s="17" t="str">
        <f>IF(A45&lt;=Summary!$D$13,"L","")</f>
        <v/>
      </c>
      <c r="T45" s="5" t="str">
        <f>IF(OR(Summary!$D$18="SMP",Summary!$D$18="SAP"),VLOOKUP(A45,assumptions!$F$22:$G$24,2,TRUE),IF(OR(Summary!$D$18="OMP/OShPP",Summary!$D$18="OAP"),VLOOKUP('Phased costs'!A45,assumptions!$F$33:$G$36,2,TRUE),IF(Summary!$D$18="ShPP",VLOOKUP(A45,assumptions!$F$28:$G$29,2,TRUE),"n/a")))</f>
        <v>n/a</v>
      </c>
      <c r="U45" s="5">
        <f>IF(T45="n/a",0,IF((T45-AH45/52)&gt;0,('Phased costs'!T45-AH45/52)*AI45,0))</f>
        <v>0</v>
      </c>
      <c r="V45" s="5">
        <f t="shared" si="6"/>
        <v>0</v>
      </c>
      <c r="W45" s="3">
        <f>IF(B45&lt;assumptions!$E$52,assumptions!$D$51,assumptions!$D$52)</f>
        <v>0.22600000000000001</v>
      </c>
      <c r="X45" s="3">
        <f>IF(B45&lt;assumptions!$E$50,assumptions!$D$48,assumptions!$D$50)</f>
        <v>0.21099999999999999</v>
      </c>
      <c r="Y45" s="3">
        <f>IF(B45&lt;assumptions!$E$53,0,assumptions!$D$53)</f>
        <v>0</v>
      </c>
      <c r="Z45" s="66">
        <f>IF(T45="n/a",0,IF(T45&gt;0,(R45-IF(Summary!$D$15="LGPS",'Phased costs'!O45,IF(Summary!$D$15="USS",'Phased costs'!P45,Q45))*T45),0))</f>
        <v>0</v>
      </c>
      <c r="AA45" s="5">
        <f t="shared" si="7"/>
        <v>0</v>
      </c>
      <c r="AB45" s="20">
        <f>IF(T45="n/a",0,IF(Summary!$D$9="Shared Parental",VLOOKUP(A45,assumptions!$F$28:$G$29,2,TRUE)*-0.92,VLOOKUP(A45,assumptions!$F$22:$G$24,2,TRUE)*-0.92))</f>
        <v>0</v>
      </c>
      <c r="AC45" s="21">
        <f t="shared" si="10"/>
        <v>0</v>
      </c>
      <c r="AE45" s="5" t="e">
        <f>B45&gt;=Summary!#REF!</f>
        <v>#REF!</v>
      </c>
      <c r="AF45" s="5" t="e">
        <f>B45&lt;(Summary!#REF!+Summary!#REF!*7)</f>
        <v>#REF!</v>
      </c>
      <c r="AH45" s="104">
        <f>IF($B45&gt;assumptions!$F$59,assumptions!$D$60,assumptions!$D$59)</f>
        <v>9100</v>
      </c>
      <c r="AI45" s="65">
        <f>IF($B45&gt;assumptions!$F$59,assumptions!$D$56,assumptions!$D$55)</f>
        <v>0.13800000000000001</v>
      </c>
    </row>
    <row r="46" spans="1:35" x14ac:dyDescent="0.3">
      <c r="A46" s="1">
        <f t="shared" si="8"/>
        <v>40</v>
      </c>
      <c r="B46" s="17">
        <f t="shared" si="9"/>
        <v>273</v>
      </c>
      <c r="C46" s="107">
        <f t="shared" si="0"/>
        <v>1900</v>
      </c>
      <c r="D46" s="17">
        <f t="shared" si="2"/>
        <v>213</v>
      </c>
      <c r="E46" s="17" t="str">
        <f>IF(B46&lt;assumptions!$D$82,assumptions!$E$82,IF('Phased costs'!B46&lt;assumptions!$D$83,assumptions!$E$83,IF('Phased costs'!B46&lt;assumptions!$D$84,assumptions!$E$84,IF(B46&lt;assumptions!$D$85,assumptions!$E$85))))</f>
        <v>2024/25</v>
      </c>
      <c r="F46" s="17"/>
      <c r="G46" s="5">
        <f>+Summary!$D$7/52</f>
        <v>0</v>
      </c>
      <c r="H46" s="5">
        <f>IF((G46-AH46/52)&gt;0,('Phased costs'!G46-AH46/52)*AI46,0)</f>
        <v>0</v>
      </c>
      <c r="I46" s="5">
        <f t="shared" si="3"/>
        <v>0</v>
      </c>
      <c r="J46" s="3">
        <f>IF(B46&lt;assumptions!$E$52,assumptions!$D$51,assumptions!$D$52)</f>
        <v>0.22600000000000001</v>
      </c>
      <c r="K46" s="3">
        <f>IF(B46&lt;assumptions!$E$50,assumptions!$D$48,assumptions!$D$50)</f>
        <v>0.21099999999999999</v>
      </c>
      <c r="L46" s="3">
        <f>IF(B46&lt;assumptions!$E$53,0,assumptions!$D$53)</f>
        <v>0</v>
      </c>
      <c r="M46" s="5">
        <f>IF(Summary!$D$15="LGPS",'Phased costs'!J46*'Phased costs'!G46,IF(Summary!$D$15="USS",'Phased costs'!K46*'Phased costs'!G46,L46*'Phased costs'!G46))</f>
        <v>0</v>
      </c>
      <c r="N46" s="20">
        <f t="shared" si="4"/>
        <v>0</v>
      </c>
      <c r="O46" s="65">
        <f>VLOOKUP(Summary!$D$7,assumptions!$D$76:$E$78,2,TRUE)</f>
        <v>5.5E-2</v>
      </c>
      <c r="P46" s="65">
        <f>IF(B46&lt;assumptions!$E$48,assumptions!$D$73,assumptions!$D$75)</f>
        <v>9.6000000000000002E-2</v>
      </c>
      <c r="Q46" s="65">
        <f>assumptions!$E$79</f>
        <v>0.06</v>
      </c>
      <c r="R46" s="66">
        <f>IF(Summary!$D$15="LGPS",'Phased costs'!O46,IF(Summary!$D$15="USS",'Phased costs'!P46,Q46))*G46</f>
        <v>0</v>
      </c>
      <c r="S46" s="17" t="str">
        <f>IF(A46&lt;=Summary!$D$13,"L","")</f>
        <v/>
      </c>
      <c r="T46" s="5" t="str">
        <f>IF(OR(Summary!$D$18="SMP",Summary!$D$18="SAP"),VLOOKUP(A46,assumptions!$F$22:$G$24,2,TRUE),IF(OR(Summary!$D$18="OMP/OShPP",Summary!$D$18="OAP"),VLOOKUP('Phased costs'!A46,assumptions!$F$33:$G$36,2,TRUE),IF(Summary!$D$18="ShPP",VLOOKUP(A46,assumptions!$F$28:$G$29,2,TRUE),"n/a")))</f>
        <v>n/a</v>
      </c>
      <c r="U46" s="5">
        <f>IF(T46="n/a",0,IF((T46-AH46/52)&gt;0,('Phased costs'!T46-AH46/52)*AI46,0))</f>
        <v>0</v>
      </c>
      <c r="V46" s="5">
        <f t="shared" si="6"/>
        <v>0</v>
      </c>
      <c r="W46" s="3">
        <f>IF(B46&lt;assumptions!$E$52,assumptions!$D$51,assumptions!$D$52)</f>
        <v>0.22600000000000001</v>
      </c>
      <c r="X46" s="3">
        <f>IF(B46&lt;assumptions!$E$50,assumptions!$D$48,assumptions!$D$50)</f>
        <v>0.21099999999999999</v>
      </c>
      <c r="Y46" s="3">
        <f>IF(B46&lt;assumptions!$E$53,0,assumptions!$D$53)</f>
        <v>0</v>
      </c>
      <c r="Z46" s="66">
        <f>IF(T46="n/a",0,IF(T46&gt;0,(R46-IF(Summary!$D$15="LGPS",'Phased costs'!O46,IF(Summary!$D$15="USS",'Phased costs'!P46,Q46))*T46),0))</f>
        <v>0</v>
      </c>
      <c r="AA46" s="5">
        <f t="shared" si="7"/>
        <v>0</v>
      </c>
      <c r="AB46" s="20">
        <f>IF(T46="n/a",0,IF(Summary!$D$9="Shared Parental",VLOOKUP(A46,assumptions!$F$28:$G$29,2,TRUE)*-0.92,VLOOKUP(A46,assumptions!$F$22:$G$24,2,TRUE)*-0.92))</f>
        <v>0</v>
      </c>
      <c r="AC46" s="21">
        <f t="shared" si="10"/>
        <v>0</v>
      </c>
      <c r="AE46" s="5" t="e">
        <f>B46&gt;=Summary!#REF!</f>
        <v>#REF!</v>
      </c>
      <c r="AF46" s="5" t="e">
        <f>B46&lt;(Summary!#REF!+Summary!#REF!*7)</f>
        <v>#REF!</v>
      </c>
      <c r="AH46" s="104">
        <f>IF($B46&gt;assumptions!$F$59,assumptions!$D$60,assumptions!$D$59)</f>
        <v>9100</v>
      </c>
      <c r="AI46" s="65">
        <f>IF($B46&gt;assumptions!$F$59,assumptions!$D$56,assumptions!$D$55)</f>
        <v>0.13800000000000001</v>
      </c>
    </row>
    <row r="47" spans="1:35" x14ac:dyDescent="0.3">
      <c r="A47" s="1">
        <f t="shared" si="8"/>
        <v>41</v>
      </c>
      <c r="B47" s="17">
        <f t="shared" si="9"/>
        <v>280</v>
      </c>
      <c r="C47" s="107">
        <f t="shared" si="0"/>
        <v>1900</v>
      </c>
      <c r="D47" s="17">
        <f t="shared" si="2"/>
        <v>213</v>
      </c>
      <c r="E47" s="17" t="str">
        <f>IF(B47&lt;assumptions!$D$82,assumptions!$E$82,IF('Phased costs'!B47&lt;assumptions!$D$83,assumptions!$E$83,IF('Phased costs'!B47&lt;assumptions!$D$84,assumptions!$E$84,IF(B47&lt;assumptions!$D$85,assumptions!$E$85))))</f>
        <v>2024/25</v>
      </c>
      <c r="F47" s="17"/>
      <c r="G47" s="5">
        <f>+Summary!$D$7/52</f>
        <v>0</v>
      </c>
      <c r="H47" s="5">
        <f>IF((G47-AH47/52)&gt;0,('Phased costs'!G47-AH47/52)*AI47,0)</f>
        <v>0</v>
      </c>
      <c r="I47" s="5">
        <f t="shared" si="3"/>
        <v>0</v>
      </c>
      <c r="J47" s="3">
        <f>IF(B47&lt;assumptions!$E$52,assumptions!$D$51,assumptions!$D$52)</f>
        <v>0.22600000000000001</v>
      </c>
      <c r="K47" s="3">
        <f>IF(B47&lt;assumptions!$E$50,assumptions!$D$48,assumptions!$D$50)</f>
        <v>0.21099999999999999</v>
      </c>
      <c r="L47" s="3">
        <f>IF(B47&lt;assumptions!$E$53,0,assumptions!$D$53)</f>
        <v>0</v>
      </c>
      <c r="M47" s="5">
        <f>IF(Summary!$D$15="LGPS",'Phased costs'!J47*'Phased costs'!G47,IF(Summary!$D$15="USS",'Phased costs'!K47*'Phased costs'!G47,L47*'Phased costs'!G47))</f>
        <v>0</v>
      </c>
      <c r="N47" s="20">
        <f t="shared" si="4"/>
        <v>0</v>
      </c>
      <c r="O47" s="65">
        <f>VLOOKUP(Summary!$D$7,assumptions!$D$76:$E$78,2,TRUE)</f>
        <v>5.5E-2</v>
      </c>
      <c r="P47" s="65">
        <f>IF(B47&lt;assumptions!$E$48,assumptions!$D$73,assumptions!$D$75)</f>
        <v>9.6000000000000002E-2</v>
      </c>
      <c r="Q47" s="65">
        <f>assumptions!$E$79</f>
        <v>0.06</v>
      </c>
      <c r="R47" s="66">
        <f>IF(Summary!$D$15="LGPS",'Phased costs'!O47,IF(Summary!$D$15="USS",'Phased costs'!P47,Q47))*G47</f>
        <v>0</v>
      </c>
      <c r="S47" s="17" t="str">
        <f>IF(A47&lt;=Summary!$D$13,"L","")</f>
        <v/>
      </c>
      <c r="T47" s="5" t="str">
        <f>IF(OR(Summary!$D$18="SMP",Summary!$D$18="SAP"),VLOOKUP(A47,assumptions!$F$22:$G$24,2,TRUE),IF(OR(Summary!$D$18="OMP/OShPP",Summary!$D$18="OAP"),VLOOKUP('Phased costs'!A47,assumptions!$F$33:$G$36,2,TRUE),IF(Summary!$D$18="ShPP",VLOOKUP(A47,assumptions!$F$28:$G$29,2,TRUE),"n/a")))</f>
        <v>n/a</v>
      </c>
      <c r="U47" s="5">
        <f>IF(T47="n/a",0,IF((T47-AH47/52)&gt;0,('Phased costs'!T47-AH47/52)*AI47,0))</f>
        <v>0</v>
      </c>
      <c r="V47" s="5">
        <f t="shared" si="6"/>
        <v>0</v>
      </c>
      <c r="W47" s="3">
        <f>IF(B47&lt;assumptions!$E$52,assumptions!$D$51,assumptions!$D$52)</f>
        <v>0.22600000000000001</v>
      </c>
      <c r="X47" s="3">
        <f>IF(B47&lt;assumptions!$E$50,assumptions!$D$48,assumptions!$D$50)</f>
        <v>0.21099999999999999</v>
      </c>
      <c r="Y47" s="3">
        <f>IF(B47&lt;assumptions!$E$53,0,assumptions!$D$53)</f>
        <v>0</v>
      </c>
      <c r="Z47" s="66">
        <f>IF(T47="n/a",0,IF(T47&gt;0,(R47-IF(Summary!$D$15="LGPS",'Phased costs'!O47,IF(Summary!$D$15="USS",'Phased costs'!P47,Q47))*T47),0))</f>
        <v>0</v>
      </c>
      <c r="AA47" s="5">
        <f t="shared" si="7"/>
        <v>0</v>
      </c>
      <c r="AB47" s="20">
        <f>IF(T47="n/a",0,IF(Summary!$D$9="Shared Parental",VLOOKUP(A47,assumptions!$F$28:$G$29,2,TRUE)*-0.92,VLOOKUP(A47,assumptions!$F$22:$G$24,2,TRUE)*-0.92))</f>
        <v>0</v>
      </c>
      <c r="AC47" s="21">
        <f t="shared" si="10"/>
        <v>0</v>
      </c>
      <c r="AE47" s="5" t="e">
        <f>B47&gt;=Summary!#REF!</f>
        <v>#REF!</v>
      </c>
      <c r="AF47" s="5" t="e">
        <f>B47&lt;(Summary!#REF!+Summary!#REF!*7)</f>
        <v>#REF!</v>
      </c>
      <c r="AH47" s="104">
        <f>IF($B47&gt;assumptions!$F$59,assumptions!$D$60,assumptions!$D$59)</f>
        <v>9100</v>
      </c>
      <c r="AI47" s="65">
        <f>IF($B47&gt;assumptions!$F$59,assumptions!$D$56,assumptions!$D$55)</f>
        <v>0.13800000000000001</v>
      </c>
    </row>
    <row r="48" spans="1:35" x14ac:dyDescent="0.3">
      <c r="A48" s="1">
        <f t="shared" si="8"/>
        <v>42</v>
      </c>
      <c r="B48" s="17">
        <f t="shared" si="9"/>
        <v>287</v>
      </c>
      <c r="C48" s="107">
        <f t="shared" si="0"/>
        <v>1900</v>
      </c>
      <c r="D48" s="17">
        <f t="shared" si="2"/>
        <v>213</v>
      </c>
      <c r="E48" s="17" t="str">
        <f>IF(B48&lt;assumptions!$D$82,assumptions!$E$82,IF('Phased costs'!B48&lt;assumptions!$D$83,assumptions!$E$83,IF('Phased costs'!B48&lt;assumptions!$D$84,assumptions!$E$84,IF(B48&lt;assumptions!$D$85,assumptions!$E$85))))</f>
        <v>2024/25</v>
      </c>
      <c r="F48" s="17"/>
      <c r="G48" s="5">
        <f>+Summary!$D$7/52</f>
        <v>0</v>
      </c>
      <c r="H48" s="5">
        <f>IF((G48-AH48/52)&gt;0,('Phased costs'!G48-AH48/52)*AI48,0)</f>
        <v>0</v>
      </c>
      <c r="I48" s="5">
        <f t="shared" si="3"/>
        <v>0</v>
      </c>
      <c r="J48" s="3">
        <f>IF(B48&lt;assumptions!$E$52,assumptions!$D$51,assumptions!$D$52)</f>
        <v>0.22600000000000001</v>
      </c>
      <c r="K48" s="3">
        <f>IF(B48&lt;assumptions!$E$50,assumptions!$D$48,assumptions!$D$50)</f>
        <v>0.21099999999999999</v>
      </c>
      <c r="L48" s="3">
        <f>IF(B48&lt;assumptions!$E$53,0,assumptions!$D$53)</f>
        <v>0</v>
      </c>
      <c r="M48" s="5">
        <f>IF(Summary!$D$15="LGPS",'Phased costs'!J48*'Phased costs'!G48,IF(Summary!$D$15="USS",'Phased costs'!K48*'Phased costs'!G48,L48*'Phased costs'!G48))</f>
        <v>0</v>
      </c>
      <c r="N48" s="20">
        <f t="shared" si="4"/>
        <v>0</v>
      </c>
      <c r="O48" s="65">
        <f>VLOOKUP(Summary!$D$7,assumptions!$D$76:$E$78,2,TRUE)</f>
        <v>5.5E-2</v>
      </c>
      <c r="P48" s="65">
        <f>IF(B48&lt;assumptions!$E$48,assumptions!$D$73,assumptions!$D$75)</f>
        <v>9.6000000000000002E-2</v>
      </c>
      <c r="Q48" s="65">
        <f>assumptions!$E$79</f>
        <v>0.06</v>
      </c>
      <c r="R48" s="66">
        <f>IF(Summary!$D$15="LGPS",'Phased costs'!O48,IF(Summary!$D$15="USS",'Phased costs'!P48,Q48))*G48</f>
        <v>0</v>
      </c>
      <c r="S48" s="17" t="str">
        <f>IF(A48&lt;=Summary!$D$13,"L","")</f>
        <v/>
      </c>
      <c r="T48" s="5" t="str">
        <f>IF(OR(Summary!$D$18="SMP",Summary!$D$18="SAP"),VLOOKUP(A48,assumptions!$F$22:$G$24,2,TRUE),IF(OR(Summary!$D$18="OMP/OShPP",Summary!$D$18="OAP"),VLOOKUP('Phased costs'!A48,assumptions!$F$33:$G$36,2,TRUE),IF(Summary!$D$18="ShPP",VLOOKUP(A48,assumptions!$F$28:$G$29,2,TRUE),"n/a")))</f>
        <v>n/a</v>
      </c>
      <c r="U48" s="5">
        <f>IF(T48="n/a",0,IF((T48-AH48/52)&gt;0,('Phased costs'!T48-AH48/52)*AI48,0))</f>
        <v>0</v>
      </c>
      <c r="V48" s="5">
        <f t="shared" si="6"/>
        <v>0</v>
      </c>
      <c r="W48" s="3">
        <f>IF(B48&lt;assumptions!$E$52,assumptions!$D$51,assumptions!$D$52)</f>
        <v>0.22600000000000001</v>
      </c>
      <c r="X48" s="3">
        <f>IF(B48&lt;assumptions!$E$50,assumptions!$D$48,assumptions!$D$50)</f>
        <v>0.21099999999999999</v>
      </c>
      <c r="Y48" s="3">
        <f>IF(B48&lt;assumptions!$E$53,0,assumptions!$D$53)</f>
        <v>0</v>
      </c>
      <c r="Z48" s="66">
        <f>IF(T48="n/a",0,IF(T48&gt;0,(R48-IF(Summary!$D$15="LGPS",'Phased costs'!O48,IF(Summary!$D$15="USS",'Phased costs'!P48,Q48))*T48),0))</f>
        <v>0</v>
      </c>
      <c r="AA48" s="5">
        <f t="shared" si="7"/>
        <v>0</v>
      </c>
      <c r="AB48" s="20">
        <f>IF(T48="n/a",0,IF(Summary!$D$9="Shared Parental",VLOOKUP(A48,assumptions!$F$28:$G$29,2,TRUE)*-0.92,VLOOKUP(A48,assumptions!$F$22:$G$24,2,TRUE)*-0.92))</f>
        <v>0</v>
      </c>
      <c r="AC48" s="21">
        <f t="shared" si="10"/>
        <v>0</v>
      </c>
      <c r="AE48" s="5" t="e">
        <f>B48&gt;=Summary!#REF!</f>
        <v>#REF!</v>
      </c>
      <c r="AF48" s="5" t="e">
        <f>B48&lt;(Summary!#REF!+Summary!#REF!*7)</f>
        <v>#REF!</v>
      </c>
      <c r="AH48" s="104">
        <f>IF($B48&gt;assumptions!$F$59,assumptions!$D$60,assumptions!$D$59)</f>
        <v>9100</v>
      </c>
      <c r="AI48" s="65">
        <f>IF($B48&gt;assumptions!$F$59,assumptions!$D$56,assumptions!$D$55)</f>
        <v>0.13800000000000001</v>
      </c>
    </row>
    <row r="49" spans="1:35" x14ac:dyDescent="0.3">
      <c r="A49" s="1">
        <f t="shared" si="8"/>
        <v>43</v>
      </c>
      <c r="B49" s="17">
        <f t="shared" si="9"/>
        <v>294</v>
      </c>
      <c r="C49" s="107">
        <f t="shared" si="0"/>
        <v>1900</v>
      </c>
      <c r="D49" s="17">
        <f t="shared" si="2"/>
        <v>213</v>
      </c>
      <c r="E49" s="17" t="str">
        <f>IF(B49&lt;assumptions!$D$82,assumptions!$E$82,IF('Phased costs'!B49&lt;assumptions!$D$83,assumptions!$E$83,IF('Phased costs'!B49&lt;assumptions!$D$84,assumptions!$E$84,IF(B49&lt;assumptions!$D$85,assumptions!$E$85))))</f>
        <v>2024/25</v>
      </c>
      <c r="F49" s="17"/>
      <c r="G49" s="5">
        <f>+Summary!$D$7/52</f>
        <v>0</v>
      </c>
      <c r="H49" s="5">
        <f>IF((G49-AH49/52)&gt;0,('Phased costs'!G49-AH49/52)*AI49,0)</f>
        <v>0</v>
      </c>
      <c r="I49" s="5">
        <f t="shared" si="3"/>
        <v>0</v>
      </c>
      <c r="J49" s="3">
        <f>IF(B49&lt;assumptions!$E$52,assumptions!$D$51,assumptions!$D$52)</f>
        <v>0.22600000000000001</v>
      </c>
      <c r="K49" s="3">
        <f>IF(B49&lt;assumptions!$E$50,assumptions!$D$48,assumptions!$D$50)</f>
        <v>0.21099999999999999</v>
      </c>
      <c r="L49" s="3">
        <f>IF(B49&lt;assumptions!$E$53,0,assumptions!$D$53)</f>
        <v>0</v>
      </c>
      <c r="M49" s="5">
        <f>IF(Summary!$D$15="LGPS",'Phased costs'!J49*'Phased costs'!G49,IF(Summary!$D$15="USS",'Phased costs'!K49*'Phased costs'!G49,L49*'Phased costs'!G49))</f>
        <v>0</v>
      </c>
      <c r="N49" s="20">
        <f t="shared" si="4"/>
        <v>0</v>
      </c>
      <c r="O49" s="65">
        <f>VLOOKUP(Summary!$D$7,assumptions!$D$76:$E$78,2,TRUE)</f>
        <v>5.5E-2</v>
      </c>
      <c r="P49" s="65">
        <f>IF(B49&lt;assumptions!$E$48,assumptions!$D$73,assumptions!$D$75)</f>
        <v>9.6000000000000002E-2</v>
      </c>
      <c r="Q49" s="65">
        <f>assumptions!$E$79</f>
        <v>0.06</v>
      </c>
      <c r="R49" s="66">
        <f>IF(Summary!$D$15="LGPS",'Phased costs'!O49,IF(Summary!$D$15="USS",'Phased costs'!P49,Q49))*G49</f>
        <v>0</v>
      </c>
      <c r="S49" s="17" t="str">
        <f>IF(A49&lt;=Summary!$D$13,"L","")</f>
        <v/>
      </c>
      <c r="T49" s="5" t="str">
        <f>IF(OR(Summary!$D$18="SMP",Summary!$D$18="SAP"),VLOOKUP(A49,assumptions!$F$22:$G$24,2,TRUE),IF(OR(Summary!$D$18="OMP/OShPP",Summary!$D$18="OAP"),VLOOKUP('Phased costs'!A49,assumptions!$F$33:$G$36,2,TRUE),IF(Summary!$D$18="ShPP",VLOOKUP(A49,assumptions!$F$28:$G$29,2,TRUE),"n/a")))</f>
        <v>n/a</v>
      </c>
      <c r="U49" s="5">
        <f>IF(T49="n/a",0,IF((T49-AH49/52)&gt;0,('Phased costs'!T49-AH49/52)*AI49,0))</f>
        <v>0</v>
      </c>
      <c r="V49" s="5">
        <f t="shared" si="6"/>
        <v>0</v>
      </c>
      <c r="W49" s="3">
        <f>IF(B49&lt;assumptions!$E$52,assumptions!$D$51,assumptions!$D$52)</f>
        <v>0.22600000000000001</v>
      </c>
      <c r="X49" s="3">
        <f>IF(B49&lt;assumptions!$E$50,assumptions!$D$48,assumptions!$D$50)</f>
        <v>0.21099999999999999</v>
      </c>
      <c r="Y49" s="3">
        <f>IF(B49&lt;assumptions!$E$53,0,assumptions!$D$53)</f>
        <v>0</v>
      </c>
      <c r="Z49" s="66">
        <f>IF(T49="n/a",0,IF(T49&gt;0,(R49-IF(Summary!$D$15="LGPS",'Phased costs'!O49,IF(Summary!$D$15="USS",'Phased costs'!P49,Q49))*T49),0))</f>
        <v>0</v>
      </c>
      <c r="AA49" s="5">
        <f t="shared" si="7"/>
        <v>0</v>
      </c>
      <c r="AB49" s="20">
        <f>IF(T49="n/a",0,IF(Summary!$D$9="Shared Parental",VLOOKUP(A49,assumptions!$F$28:$G$29,2,TRUE)*-0.92,VLOOKUP(A49,assumptions!$F$22:$G$24,2,TRUE)*-0.92))</f>
        <v>0</v>
      </c>
      <c r="AC49" s="21">
        <f t="shared" si="10"/>
        <v>0</v>
      </c>
      <c r="AE49" s="5" t="e">
        <f>B49&gt;=Summary!#REF!</f>
        <v>#REF!</v>
      </c>
      <c r="AF49" s="5" t="e">
        <f>B49&lt;(Summary!#REF!+Summary!#REF!*7)</f>
        <v>#REF!</v>
      </c>
      <c r="AH49" s="104">
        <f>IF($B49&gt;assumptions!$F$59,assumptions!$D$60,assumptions!$D$59)</f>
        <v>9100</v>
      </c>
      <c r="AI49" s="65">
        <f>IF($B49&gt;assumptions!$F$59,assumptions!$D$56,assumptions!$D$55)</f>
        <v>0.13800000000000001</v>
      </c>
    </row>
    <row r="50" spans="1:35" x14ac:dyDescent="0.3">
      <c r="A50" s="1">
        <f t="shared" si="8"/>
        <v>44</v>
      </c>
      <c r="B50" s="17">
        <f t="shared" si="9"/>
        <v>301</v>
      </c>
      <c r="C50" s="107">
        <f t="shared" si="0"/>
        <v>1900</v>
      </c>
      <c r="D50" s="17">
        <f t="shared" si="2"/>
        <v>213</v>
      </c>
      <c r="E50" s="17" t="str">
        <f>IF(B50&lt;assumptions!$D$82,assumptions!$E$82,IF('Phased costs'!B50&lt;assumptions!$D$83,assumptions!$E$83,IF('Phased costs'!B50&lt;assumptions!$D$84,assumptions!$E$84,IF(B50&lt;assumptions!$D$85,assumptions!$E$85))))</f>
        <v>2024/25</v>
      </c>
      <c r="F50" s="17"/>
      <c r="G50" s="5">
        <f>+Summary!$D$7/52</f>
        <v>0</v>
      </c>
      <c r="H50" s="5">
        <f>IF((G50-AH50/52)&gt;0,('Phased costs'!G50-AH50/52)*AI50,0)</f>
        <v>0</v>
      </c>
      <c r="I50" s="5">
        <f t="shared" si="3"/>
        <v>0</v>
      </c>
      <c r="J50" s="3">
        <f>IF(B50&lt;assumptions!$E$52,assumptions!$D$51,assumptions!$D$52)</f>
        <v>0.22600000000000001</v>
      </c>
      <c r="K50" s="3">
        <f>IF(B50&lt;assumptions!$E$50,assumptions!$D$48,assumptions!$D$50)</f>
        <v>0.21099999999999999</v>
      </c>
      <c r="L50" s="3">
        <f>IF(B50&lt;assumptions!$E$53,0,assumptions!$D$53)</f>
        <v>0</v>
      </c>
      <c r="M50" s="5">
        <f>IF(Summary!$D$15="LGPS",'Phased costs'!J50*'Phased costs'!G50,IF(Summary!$D$15="USS",'Phased costs'!K50*'Phased costs'!G50,L50*'Phased costs'!G50))</f>
        <v>0</v>
      </c>
      <c r="N50" s="20">
        <f t="shared" si="4"/>
        <v>0</v>
      </c>
      <c r="O50" s="65">
        <f>VLOOKUP(Summary!$D$7,assumptions!$D$76:$E$78,2,TRUE)</f>
        <v>5.5E-2</v>
      </c>
      <c r="P50" s="65">
        <f>IF(B50&lt;assumptions!$E$48,assumptions!$D$73,assumptions!$D$75)</f>
        <v>9.6000000000000002E-2</v>
      </c>
      <c r="Q50" s="65">
        <f>assumptions!$E$79</f>
        <v>0.06</v>
      </c>
      <c r="R50" s="66">
        <f>IF(Summary!$D$15="LGPS",'Phased costs'!O50,IF(Summary!$D$15="USS",'Phased costs'!P50,Q50))*G50</f>
        <v>0</v>
      </c>
      <c r="S50" s="17" t="str">
        <f>IF(A50&lt;=Summary!$D$13,"L","")</f>
        <v/>
      </c>
      <c r="T50" s="5" t="str">
        <f>IF(OR(Summary!$D$18="SMP",Summary!$D$18="SAP"),VLOOKUP(A50,assumptions!$F$22:$G$24,2,TRUE),IF(OR(Summary!$D$18="OMP/OShPP",Summary!$D$18="OAP"),VLOOKUP('Phased costs'!A50,assumptions!$F$33:$G$36,2,TRUE),IF(Summary!$D$18="ShPP",VLOOKUP(A50,assumptions!$F$28:$G$29,2,TRUE),"n/a")))</f>
        <v>n/a</v>
      </c>
      <c r="U50" s="5">
        <f>IF(T50="n/a",0,IF((T50-AH50/52)&gt;0,('Phased costs'!T50-AH50/52)*AI50,0))</f>
        <v>0</v>
      </c>
      <c r="V50" s="5">
        <f t="shared" si="6"/>
        <v>0</v>
      </c>
      <c r="W50" s="3">
        <f>IF(B50&lt;assumptions!$E$52,assumptions!$D$51,assumptions!$D$52)</f>
        <v>0.22600000000000001</v>
      </c>
      <c r="X50" s="3">
        <f>IF(B50&lt;assumptions!$E$50,assumptions!$D$48,assumptions!$D$50)</f>
        <v>0.21099999999999999</v>
      </c>
      <c r="Y50" s="3">
        <f>IF(B50&lt;assumptions!$E$53,0,assumptions!$D$53)</f>
        <v>0</v>
      </c>
      <c r="Z50" s="66">
        <f>IF(T50="n/a",0,IF(T50&gt;0,(R50-IF(Summary!$D$15="LGPS",'Phased costs'!O50,IF(Summary!$D$15="USS",'Phased costs'!P50,Q50))*T50),0))</f>
        <v>0</v>
      </c>
      <c r="AA50" s="5">
        <f t="shared" si="7"/>
        <v>0</v>
      </c>
      <c r="AB50" s="20">
        <f>IF(T50="n/a",0,IF(Summary!$D$9="Shared Parental",VLOOKUP(A50,assumptions!$F$28:$G$29,2,TRUE)*-0.92,VLOOKUP(A50,assumptions!$F$22:$G$24,2,TRUE)*-0.92))</f>
        <v>0</v>
      </c>
      <c r="AC50" s="21">
        <f t="shared" si="10"/>
        <v>0</v>
      </c>
      <c r="AE50" s="5" t="e">
        <f>B50&gt;=Summary!#REF!</f>
        <v>#REF!</v>
      </c>
      <c r="AF50" s="5" t="e">
        <f>B50&lt;(Summary!#REF!+Summary!#REF!*7)</f>
        <v>#REF!</v>
      </c>
      <c r="AH50" s="104">
        <f>IF($B50&gt;assumptions!$F$59,assumptions!$D$60,assumptions!$D$59)</f>
        <v>9100</v>
      </c>
      <c r="AI50" s="65">
        <f>IF($B50&gt;assumptions!$F$59,assumptions!$D$56,assumptions!$D$55)</f>
        <v>0.13800000000000001</v>
      </c>
    </row>
    <row r="51" spans="1:35" x14ac:dyDescent="0.3">
      <c r="A51" s="1">
        <f t="shared" si="8"/>
        <v>45</v>
      </c>
      <c r="B51" s="17">
        <f t="shared" si="9"/>
        <v>308</v>
      </c>
      <c r="C51" s="107">
        <f t="shared" si="0"/>
        <v>1900</v>
      </c>
      <c r="D51" s="17">
        <f t="shared" si="2"/>
        <v>213</v>
      </c>
      <c r="E51" s="17" t="str">
        <f>IF(B51&lt;assumptions!$D$82,assumptions!$E$82,IF('Phased costs'!B51&lt;assumptions!$D$83,assumptions!$E$83,IF('Phased costs'!B51&lt;assumptions!$D$84,assumptions!$E$84,IF(B51&lt;assumptions!$D$85,assumptions!$E$85))))</f>
        <v>2024/25</v>
      </c>
      <c r="F51" s="17"/>
      <c r="G51" s="5">
        <f>+Summary!$D$7/52</f>
        <v>0</v>
      </c>
      <c r="H51" s="5">
        <f>IF((G51-AH51/52)&gt;0,('Phased costs'!G51-AH51/52)*AI51,0)</f>
        <v>0</v>
      </c>
      <c r="I51" s="5">
        <f t="shared" si="3"/>
        <v>0</v>
      </c>
      <c r="J51" s="3">
        <f>IF(B51&lt;assumptions!$E$52,assumptions!$D$51,assumptions!$D$52)</f>
        <v>0.22600000000000001</v>
      </c>
      <c r="K51" s="3">
        <f>IF(B51&lt;assumptions!$E$50,assumptions!$D$48,assumptions!$D$50)</f>
        <v>0.21099999999999999</v>
      </c>
      <c r="L51" s="3">
        <f>IF(B51&lt;assumptions!$E$53,0,assumptions!$D$53)</f>
        <v>0</v>
      </c>
      <c r="M51" s="5">
        <f>IF(Summary!$D$15="LGPS",'Phased costs'!J51*'Phased costs'!G51,IF(Summary!$D$15="USS",'Phased costs'!K51*'Phased costs'!G51,L51*'Phased costs'!G51))</f>
        <v>0</v>
      </c>
      <c r="N51" s="20">
        <f t="shared" si="4"/>
        <v>0</v>
      </c>
      <c r="O51" s="65">
        <f>VLOOKUP(Summary!$D$7,assumptions!$D$76:$E$78,2,TRUE)</f>
        <v>5.5E-2</v>
      </c>
      <c r="P51" s="65">
        <f>IF(B51&lt;assumptions!$E$48,assumptions!$D$73,assumptions!$D$75)</f>
        <v>9.6000000000000002E-2</v>
      </c>
      <c r="Q51" s="65">
        <f>assumptions!$E$79</f>
        <v>0.06</v>
      </c>
      <c r="R51" s="66">
        <f>IF(Summary!$D$15="LGPS",'Phased costs'!O51,IF(Summary!$D$15="USS",'Phased costs'!P51,Q51))*G51</f>
        <v>0</v>
      </c>
      <c r="S51" s="17" t="str">
        <f>IF(A51&lt;=Summary!$D$13,"L","")</f>
        <v/>
      </c>
      <c r="T51" s="5" t="str">
        <f>IF(OR(Summary!$D$18="SMP",Summary!$D$18="SAP"),VLOOKUP(A51,assumptions!$F$22:$G$24,2,TRUE),IF(OR(Summary!$D$18="OMP/OShPP",Summary!$D$18="OAP"),VLOOKUP('Phased costs'!A51,assumptions!$F$33:$G$36,2,TRUE),IF(Summary!$D$18="ShPP",VLOOKUP(A51,assumptions!$F$28:$G$29,2,TRUE),"n/a")))</f>
        <v>n/a</v>
      </c>
      <c r="U51" s="5">
        <f>IF(T51="n/a",0,IF((T51-AH51/52)&gt;0,('Phased costs'!T51-AH51/52)*AI51,0))</f>
        <v>0</v>
      </c>
      <c r="V51" s="5">
        <f t="shared" si="6"/>
        <v>0</v>
      </c>
      <c r="W51" s="3">
        <f>IF(B51&lt;assumptions!$E$52,assumptions!$D$51,assumptions!$D$52)</f>
        <v>0.22600000000000001</v>
      </c>
      <c r="X51" s="3">
        <f>IF(B51&lt;assumptions!$E$50,assumptions!$D$48,assumptions!$D$50)</f>
        <v>0.21099999999999999</v>
      </c>
      <c r="Y51" s="3">
        <f>IF(B51&lt;assumptions!$E$53,0,assumptions!$D$53)</f>
        <v>0</v>
      </c>
      <c r="Z51" s="66">
        <f>IF(T51="n/a",0,IF(T51&gt;0,(R51-IF(Summary!$D$15="LGPS",'Phased costs'!O51,IF(Summary!$D$15="USS",'Phased costs'!P51,Q51))*T51),0))</f>
        <v>0</v>
      </c>
      <c r="AA51" s="5">
        <f t="shared" si="7"/>
        <v>0</v>
      </c>
      <c r="AB51" s="20">
        <f>IF(T51="n/a",0,IF(Summary!$D$9="Shared Parental",VLOOKUP(A51,assumptions!$F$28:$G$29,2,TRUE)*-0.92,VLOOKUP(A51,assumptions!$F$22:$G$24,2,TRUE)*-0.92))</f>
        <v>0</v>
      </c>
      <c r="AC51" s="21">
        <f t="shared" si="10"/>
        <v>0</v>
      </c>
      <c r="AE51" s="5" t="e">
        <f>B51&gt;=Summary!#REF!</f>
        <v>#REF!</v>
      </c>
      <c r="AF51" s="5" t="e">
        <f>B51&lt;(Summary!#REF!+Summary!#REF!*7)</f>
        <v>#REF!</v>
      </c>
      <c r="AH51" s="104">
        <f>IF($B51&gt;assumptions!$F$59,assumptions!$D$60,assumptions!$D$59)</f>
        <v>9100</v>
      </c>
      <c r="AI51" s="65">
        <f>IF($B51&gt;assumptions!$F$59,assumptions!$D$56,assumptions!$D$55)</f>
        <v>0.13800000000000001</v>
      </c>
    </row>
    <row r="52" spans="1:35" x14ac:dyDescent="0.3">
      <c r="A52" s="1">
        <f t="shared" si="8"/>
        <v>46</v>
      </c>
      <c r="B52" s="17">
        <f t="shared" si="9"/>
        <v>315</v>
      </c>
      <c r="C52" s="107">
        <f t="shared" si="0"/>
        <v>1900</v>
      </c>
      <c r="D52" s="17">
        <f t="shared" si="2"/>
        <v>213</v>
      </c>
      <c r="E52" s="17" t="str">
        <f>IF(B52&lt;assumptions!$D$82,assumptions!$E$82,IF('Phased costs'!B52&lt;assumptions!$D$83,assumptions!$E$83,IF('Phased costs'!B52&lt;assumptions!$D$84,assumptions!$E$84,IF(B52&lt;assumptions!$D$85,assumptions!$E$85))))</f>
        <v>2024/25</v>
      </c>
      <c r="F52" s="17"/>
      <c r="G52" s="5">
        <f>+Summary!$D$7/52</f>
        <v>0</v>
      </c>
      <c r="H52" s="5">
        <f>IF((G52-AH52/52)&gt;0,('Phased costs'!G52-AH52/52)*AI52,0)</f>
        <v>0</v>
      </c>
      <c r="I52" s="5">
        <f t="shared" si="3"/>
        <v>0</v>
      </c>
      <c r="J52" s="3">
        <f>IF(B52&lt;assumptions!$E$52,assumptions!$D$51,assumptions!$D$52)</f>
        <v>0.22600000000000001</v>
      </c>
      <c r="K52" s="3">
        <f>IF(B52&lt;assumptions!$E$50,assumptions!$D$48,assumptions!$D$50)</f>
        <v>0.21099999999999999</v>
      </c>
      <c r="L52" s="3">
        <f>IF(B52&lt;assumptions!$E$53,0,assumptions!$D$53)</f>
        <v>0</v>
      </c>
      <c r="M52" s="5">
        <f>IF(Summary!$D$15="LGPS",'Phased costs'!J52*'Phased costs'!G52,IF(Summary!$D$15="USS",'Phased costs'!K52*'Phased costs'!G52,L52*'Phased costs'!G52))</f>
        <v>0</v>
      </c>
      <c r="N52" s="20">
        <f t="shared" si="4"/>
        <v>0</v>
      </c>
      <c r="O52" s="65">
        <f>VLOOKUP(Summary!$D$7,assumptions!$D$76:$E$78,2,TRUE)</f>
        <v>5.5E-2</v>
      </c>
      <c r="P52" s="65">
        <f>IF(B52&lt;assumptions!$E$48,assumptions!$D$73,assumptions!$D$75)</f>
        <v>9.6000000000000002E-2</v>
      </c>
      <c r="Q52" s="65">
        <f>assumptions!$E$79</f>
        <v>0.06</v>
      </c>
      <c r="R52" s="66">
        <f>IF(Summary!$D$15="LGPS",'Phased costs'!O52,IF(Summary!$D$15="USS",'Phased costs'!P52,Q52))*G52</f>
        <v>0</v>
      </c>
      <c r="S52" s="17" t="str">
        <f>IF(A52&lt;=Summary!$D$13,"L","")</f>
        <v/>
      </c>
      <c r="T52" s="5" t="str">
        <f>IF(OR(Summary!$D$18="SMP",Summary!$D$18="SAP"),VLOOKUP(A52,assumptions!$F$22:$G$24,2,TRUE),IF(OR(Summary!$D$18="OMP/OShPP",Summary!$D$18="OAP"),VLOOKUP('Phased costs'!A52,assumptions!$F$33:$G$36,2,TRUE),IF(Summary!$D$18="ShPP",VLOOKUP(A52,assumptions!$F$28:$G$29,2,TRUE),"n/a")))</f>
        <v>n/a</v>
      </c>
      <c r="U52" s="5">
        <f>IF(T52="n/a",0,IF((T52-AH52/52)&gt;0,('Phased costs'!T52-AH52/52)*AI52,0))</f>
        <v>0</v>
      </c>
      <c r="V52" s="5">
        <f t="shared" si="6"/>
        <v>0</v>
      </c>
      <c r="W52" s="3">
        <f>IF(B52&lt;assumptions!$E$52,assumptions!$D$51,assumptions!$D$52)</f>
        <v>0.22600000000000001</v>
      </c>
      <c r="X52" s="3">
        <f>IF(B52&lt;assumptions!$E$50,assumptions!$D$48,assumptions!$D$50)</f>
        <v>0.21099999999999999</v>
      </c>
      <c r="Y52" s="3">
        <f>IF(B52&lt;assumptions!$E$53,0,assumptions!$D$53)</f>
        <v>0</v>
      </c>
      <c r="Z52" s="66">
        <f>IF(T52="n/a",0,IF(T52&gt;0,(R52-IF(Summary!$D$15="LGPS",'Phased costs'!O52,IF(Summary!$D$15="USS",'Phased costs'!P52,Q52))*T52),0))</f>
        <v>0</v>
      </c>
      <c r="AA52" s="5">
        <f t="shared" si="7"/>
        <v>0</v>
      </c>
      <c r="AB52" s="20">
        <f>IF(T52="n/a",0,IF(Summary!$D$9="Shared Parental",VLOOKUP(A52,assumptions!$F$28:$G$29,2,TRUE)*-0.92,VLOOKUP(A52,assumptions!$F$22:$G$24,2,TRUE)*-0.92))</f>
        <v>0</v>
      </c>
      <c r="AC52" s="21">
        <f t="shared" si="10"/>
        <v>0</v>
      </c>
      <c r="AE52" s="5" t="e">
        <f>B52&gt;=Summary!#REF!</f>
        <v>#REF!</v>
      </c>
      <c r="AF52" s="5" t="e">
        <f>B52&lt;(Summary!#REF!+Summary!#REF!*7)</f>
        <v>#REF!</v>
      </c>
      <c r="AH52" s="104">
        <f>IF($B52&gt;assumptions!$F$59,assumptions!$D$60,assumptions!$D$59)</f>
        <v>9100</v>
      </c>
      <c r="AI52" s="65">
        <f>IF($B52&gt;assumptions!$F$59,assumptions!$D$56,assumptions!$D$55)</f>
        <v>0.13800000000000001</v>
      </c>
    </row>
    <row r="53" spans="1:35" x14ac:dyDescent="0.3">
      <c r="A53" s="1">
        <f t="shared" si="8"/>
        <v>47</v>
      </c>
      <c r="B53" s="17">
        <f t="shared" si="9"/>
        <v>322</v>
      </c>
      <c r="C53" s="107">
        <f t="shared" si="0"/>
        <v>1900</v>
      </c>
      <c r="D53" s="17">
        <f t="shared" si="2"/>
        <v>213</v>
      </c>
      <c r="E53" s="17" t="str">
        <f>IF(B53&lt;assumptions!$D$82,assumptions!$E$82,IF('Phased costs'!B53&lt;assumptions!$D$83,assumptions!$E$83,IF('Phased costs'!B53&lt;assumptions!$D$84,assumptions!$E$84,IF(B53&lt;assumptions!$D$85,assumptions!$E$85))))</f>
        <v>2024/25</v>
      </c>
      <c r="F53" s="17"/>
      <c r="G53" s="5">
        <f>+Summary!$D$7/52</f>
        <v>0</v>
      </c>
      <c r="H53" s="5">
        <f>IF((G53-AH53/52)&gt;0,('Phased costs'!G53-AH53/52)*AI53,0)</f>
        <v>0</v>
      </c>
      <c r="I53" s="5">
        <f t="shared" si="3"/>
        <v>0</v>
      </c>
      <c r="J53" s="3">
        <f>IF(B53&lt;assumptions!$E$52,assumptions!$D$51,assumptions!$D$52)</f>
        <v>0.22600000000000001</v>
      </c>
      <c r="K53" s="3">
        <f>IF(B53&lt;assumptions!$E$50,assumptions!$D$48,assumptions!$D$50)</f>
        <v>0.21099999999999999</v>
      </c>
      <c r="L53" s="3">
        <f>IF(B53&lt;assumptions!$E$53,0,assumptions!$D$53)</f>
        <v>0</v>
      </c>
      <c r="M53" s="5">
        <f>IF(Summary!$D$15="LGPS",'Phased costs'!J53*'Phased costs'!G53,IF(Summary!$D$15="USS",'Phased costs'!K53*'Phased costs'!G53,L53*'Phased costs'!G53))</f>
        <v>0</v>
      </c>
      <c r="N53" s="20">
        <f t="shared" si="4"/>
        <v>0</v>
      </c>
      <c r="O53" s="65">
        <f>VLOOKUP(Summary!$D$7,assumptions!$D$76:$E$78,2,TRUE)</f>
        <v>5.5E-2</v>
      </c>
      <c r="P53" s="65">
        <f>IF(B53&lt;assumptions!$E$48,assumptions!$D$73,assumptions!$D$75)</f>
        <v>9.6000000000000002E-2</v>
      </c>
      <c r="Q53" s="65">
        <f>assumptions!$E$79</f>
        <v>0.06</v>
      </c>
      <c r="R53" s="66">
        <f>IF(Summary!$D$15="LGPS",'Phased costs'!O53,IF(Summary!$D$15="USS",'Phased costs'!P53,Q53))*G53</f>
        <v>0</v>
      </c>
      <c r="S53" s="17" t="str">
        <f>IF(A53&lt;=Summary!$D$13,"L","")</f>
        <v/>
      </c>
      <c r="T53" s="5" t="str">
        <f>IF(OR(Summary!$D$18="SMP",Summary!$D$18="SAP"),VLOOKUP(A53,assumptions!$F$22:$G$24,2,TRUE),IF(OR(Summary!$D$18="OMP/OShPP",Summary!$D$18="OAP"),VLOOKUP('Phased costs'!A53,assumptions!$F$33:$G$36,2,TRUE),IF(Summary!$D$18="ShPP",VLOOKUP(A53,assumptions!$F$28:$G$29,2,TRUE),"n/a")))</f>
        <v>n/a</v>
      </c>
      <c r="U53" s="5">
        <f>IF(T53="n/a",0,IF((T53-AH53/52)&gt;0,('Phased costs'!T53-AH53/52)*AI53,0))</f>
        <v>0</v>
      </c>
      <c r="V53" s="5">
        <f t="shared" si="6"/>
        <v>0</v>
      </c>
      <c r="W53" s="3">
        <f>IF(B53&lt;assumptions!$E$52,assumptions!$D$51,assumptions!$D$52)</f>
        <v>0.22600000000000001</v>
      </c>
      <c r="X53" s="3">
        <f>IF(B53&lt;assumptions!$E$50,assumptions!$D$48,assumptions!$D$50)</f>
        <v>0.21099999999999999</v>
      </c>
      <c r="Y53" s="3">
        <f>IF(B53&lt;assumptions!$E$53,0,assumptions!$D$53)</f>
        <v>0</v>
      </c>
      <c r="Z53" s="66">
        <f>IF(T53="n/a",0,IF(T53&gt;0,(R53-IF(Summary!$D$15="LGPS",'Phased costs'!O53,IF(Summary!$D$15="USS",'Phased costs'!P53,Q53))*T53),0))</f>
        <v>0</v>
      </c>
      <c r="AA53" s="5">
        <f t="shared" si="7"/>
        <v>0</v>
      </c>
      <c r="AB53" s="20">
        <f>IF(T53="n/a",0,IF(Summary!$D$9="Shared Parental",VLOOKUP(A53,assumptions!$F$28:$G$29,2,TRUE)*-0.92,VLOOKUP(A53,assumptions!$F$22:$G$24,2,TRUE)*-0.92))</f>
        <v>0</v>
      </c>
      <c r="AC53" s="21">
        <f t="shared" si="10"/>
        <v>0</v>
      </c>
      <c r="AE53" s="5" t="e">
        <f>B53&gt;=Summary!#REF!</f>
        <v>#REF!</v>
      </c>
      <c r="AF53" s="5" t="e">
        <f>B53&lt;(Summary!#REF!+Summary!#REF!*7)</f>
        <v>#REF!</v>
      </c>
      <c r="AH53" s="104">
        <f>IF($B53&gt;assumptions!$F$59,assumptions!$D$60,assumptions!$D$59)</f>
        <v>9100</v>
      </c>
      <c r="AI53" s="65">
        <f>IF($B53&gt;assumptions!$F$59,assumptions!$D$56,assumptions!$D$55)</f>
        <v>0.13800000000000001</v>
      </c>
    </row>
    <row r="54" spans="1:35" x14ac:dyDescent="0.3">
      <c r="A54" s="1">
        <f t="shared" si="8"/>
        <v>48</v>
      </c>
      <c r="B54" s="17">
        <f t="shared" si="9"/>
        <v>329</v>
      </c>
      <c r="C54" s="107">
        <f t="shared" si="0"/>
        <v>1900</v>
      </c>
      <c r="D54" s="17">
        <f t="shared" si="2"/>
        <v>213</v>
      </c>
      <c r="E54" s="17" t="str">
        <f>IF(B54&lt;assumptions!$D$82,assumptions!$E$82,IF('Phased costs'!B54&lt;assumptions!$D$83,assumptions!$E$83,IF('Phased costs'!B54&lt;assumptions!$D$84,assumptions!$E$84,IF(B54&lt;assumptions!$D$85,assumptions!$E$85))))</f>
        <v>2024/25</v>
      </c>
      <c r="F54" s="17"/>
      <c r="G54" s="5">
        <f>+Summary!$D$7/52</f>
        <v>0</v>
      </c>
      <c r="H54" s="5">
        <f>IF((G54-AH54/52)&gt;0,('Phased costs'!G54-AH54/52)*AI54,0)</f>
        <v>0</v>
      </c>
      <c r="I54" s="5">
        <f t="shared" si="3"/>
        <v>0</v>
      </c>
      <c r="J54" s="3">
        <f>IF(B54&lt;assumptions!$E$52,assumptions!$D$51,assumptions!$D$52)</f>
        <v>0.22600000000000001</v>
      </c>
      <c r="K54" s="3">
        <f>IF(B54&lt;assumptions!$E$50,assumptions!$D$48,assumptions!$D$50)</f>
        <v>0.21099999999999999</v>
      </c>
      <c r="L54" s="3">
        <f>IF(B54&lt;assumptions!$E$53,0,assumptions!$D$53)</f>
        <v>0</v>
      </c>
      <c r="M54" s="5">
        <f>IF(Summary!$D$15="LGPS",'Phased costs'!J54*'Phased costs'!G54,IF(Summary!$D$15="USS",'Phased costs'!K54*'Phased costs'!G54,L54*'Phased costs'!G54))</f>
        <v>0</v>
      </c>
      <c r="N54" s="20">
        <f t="shared" si="4"/>
        <v>0</v>
      </c>
      <c r="O54" s="65">
        <f>VLOOKUP(Summary!$D$7,assumptions!$D$76:$E$78,2,TRUE)</f>
        <v>5.5E-2</v>
      </c>
      <c r="P54" s="65">
        <f>IF(B54&lt;assumptions!$E$48,assumptions!$D$73,assumptions!$D$75)</f>
        <v>9.6000000000000002E-2</v>
      </c>
      <c r="Q54" s="65">
        <f>assumptions!$E$79</f>
        <v>0.06</v>
      </c>
      <c r="R54" s="66">
        <f>IF(Summary!$D$15="LGPS",'Phased costs'!O54,IF(Summary!$D$15="USS",'Phased costs'!P54,Q54))*G54</f>
        <v>0</v>
      </c>
      <c r="S54" s="17" t="str">
        <f>IF(A54&lt;=Summary!$D$13,"L","")</f>
        <v/>
      </c>
      <c r="T54" s="5" t="str">
        <f>IF(OR(Summary!$D$18="SMP",Summary!$D$18="SAP"),VLOOKUP(A54,assumptions!$F$22:$G$24,2,TRUE),IF(OR(Summary!$D$18="OMP/OShPP",Summary!$D$18="OAP"),VLOOKUP('Phased costs'!A54,assumptions!$F$33:$G$36,2,TRUE),IF(Summary!$D$18="ShPP",VLOOKUP(A54,assumptions!$F$28:$G$29,2,TRUE),"n/a")))</f>
        <v>n/a</v>
      </c>
      <c r="U54" s="5">
        <f>IF(T54="n/a",0,IF((T54-AH54/52)&gt;0,('Phased costs'!T54-AH54/52)*AI54,0))</f>
        <v>0</v>
      </c>
      <c r="V54" s="5">
        <f t="shared" si="6"/>
        <v>0</v>
      </c>
      <c r="W54" s="3">
        <f>IF(B54&lt;assumptions!$E$52,assumptions!$D$51,assumptions!$D$52)</f>
        <v>0.22600000000000001</v>
      </c>
      <c r="X54" s="3">
        <f>IF(B54&lt;assumptions!$E$50,assumptions!$D$48,assumptions!$D$50)</f>
        <v>0.21099999999999999</v>
      </c>
      <c r="Y54" s="3">
        <f>IF(B54&lt;assumptions!$E$53,0,assumptions!$D$53)</f>
        <v>0</v>
      </c>
      <c r="Z54" s="66">
        <f>IF(T54="n/a",0,IF(T54&gt;0,(R54-IF(Summary!$D$15="LGPS",'Phased costs'!O54,IF(Summary!$D$15="USS",'Phased costs'!P54,Q54))*T54),0))</f>
        <v>0</v>
      </c>
      <c r="AA54" s="5">
        <f t="shared" si="7"/>
        <v>0</v>
      </c>
      <c r="AB54" s="20">
        <f>IF(T54="n/a",0,IF(Summary!$D$9="Shared Parental",VLOOKUP(A54,assumptions!$F$28:$G$29,2,TRUE)*-0.92,VLOOKUP(A54,assumptions!$F$22:$G$24,2,TRUE)*-0.92))</f>
        <v>0</v>
      </c>
      <c r="AC54" s="21">
        <f t="shared" si="10"/>
        <v>0</v>
      </c>
      <c r="AE54" s="5" t="e">
        <f>B54&gt;=Summary!#REF!</f>
        <v>#REF!</v>
      </c>
      <c r="AF54" s="5" t="e">
        <f>B54&lt;(Summary!#REF!+Summary!#REF!*7)</f>
        <v>#REF!</v>
      </c>
      <c r="AH54" s="104">
        <f>IF($B54&gt;assumptions!$F$59,assumptions!$D$60,assumptions!$D$59)</f>
        <v>9100</v>
      </c>
      <c r="AI54" s="65">
        <f>IF($B54&gt;assumptions!$F$59,assumptions!$D$56,assumptions!$D$55)</f>
        <v>0.13800000000000001</v>
      </c>
    </row>
    <row r="55" spans="1:35" x14ac:dyDescent="0.3">
      <c r="A55" s="1">
        <f>1+A54</f>
        <v>49</v>
      </c>
      <c r="B55" s="17">
        <f t="shared" si="9"/>
        <v>336</v>
      </c>
      <c r="C55" s="107">
        <f t="shared" si="0"/>
        <v>1900</v>
      </c>
      <c r="D55" s="17">
        <f t="shared" si="2"/>
        <v>213</v>
      </c>
      <c r="E55" s="17" t="str">
        <f>IF(B55&lt;assumptions!$D$82,assumptions!$E$82,IF('Phased costs'!B55&lt;assumptions!$D$83,assumptions!$E$83,IF('Phased costs'!B55&lt;assumptions!$D$84,assumptions!$E$84,IF(B55&lt;assumptions!$D$85,assumptions!$E$85))))</f>
        <v>2024/25</v>
      </c>
      <c r="F55" s="17"/>
      <c r="G55" s="5">
        <f>+Summary!$D$7/52</f>
        <v>0</v>
      </c>
      <c r="H55" s="5">
        <f>IF((G55-AH55/52)&gt;0,('Phased costs'!G55-AH55/52)*AI55,0)</f>
        <v>0</v>
      </c>
      <c r="I55" s="5">
        <f t="shared" si="3"/>
        <v>0</v>
      </c>
      <c r="J55" s="3">
        <f>IF(B55&lt;assumptions!$E$52,assumptions!$D$51,assumptions!$D$52)</f>
        <v>0.22600000000000001</v>
      </c>
      <c r="K55" s="3">
        <f>IF(B55&lt;assumptions!$E$50,assumptions!$D$48,assumptions!$D$50)</f>
        <v>0.21099999999999999</v>
      </c>
      <c r="L55" s="3">
        <f>IF(B55&lt;assumptions!$E$53,0,assumptions!$D$53)</f>
        <v>0</v>
      </c>
      <c r="M55" s="5">
        <f>IF(Summary!$D$15="LGPS",'Phased costs'!J55*'Phased costs'!G55,IF(Summary!$D$15="USS",'Phased costs'!K55*'Phased costs'!G55,L55*'Phased costs'!G55))</f>
        <v>0</v>
      </c>
      <c r="N55" s="20">
        <f t="shared" si="4"/>
        <v>0</v>
      </c>
      <c r="O55" s="65">
        <f>VLOOKUP(Summary!$D$7,assumptions!$D$76:$E$78,2,TRUE)</f>
        <v>5.5E-2</v>
      </c>
      <c r="P55" s="65">
        <f>IF(B55&lt;assumptions!$E$48,assumptions!$D$73,assumptions!$D$75)</f>
        <v>9.6000000000000002E-2</v>
      </c>
      <c r="Q55" s="65">
        <f>assumptions!$E$79</f>
        <v>0.06</v>
      </c>
      <c r="R55" s="66">
        <f>IF(Summary!$D$15="LGPS",'Phased costs'!O55,IF(Summary!$D$15="USS",'Phased costs'!P55,Q55))*G55</f>
        <v>0</v>
      </c>
      <c r="S55" s="17" t="str">
        <f>IF(A55&lt;=Summary!$D$13,"L","")</f>
        <v/>
      </c>
      <c r="T55" s="5" t="str">
        <f>IF(OR(Summary!$D$18="SMP",Summary!$D$18="SAP"),VLOOKUP(A55,assumptions!$F$22:$G$24,2,TRUE),IF(OR(Summary!$D$18="OMP/OShPP",Summary!$D$18="OAP"),VLOOKUP('Phased costs'!A55,assumptions!$F$33:$G$36,2,TRUE),IF(Summary!$D$18="ShPP",VLOOKUP(A55,assumptions!$F$28:$G$29,2,TRUE),"n/a")))</f>
        <v>n/a</v>
      </c>
      <c r="U55" s="5">
        <f>IF(T55="n/a",0,IF((T55-AH55/52)&gt;0,('Phased costs'!T55-AH55/52)*AI55,0))</f>
        <v>0</v>
      </c>
      <c r="V55" s="5">
        <f t="shared" si="6"/>
        <v>0</v>
      </c>
      <c r="W55" s="3">
        <f>IF(B55&lt;assumptions!$E$52,assumptions!$D$51,assumptions!$D$52)</f>
        <v>0.22600000000000001</v>
      </c>
      <c r="X55" s="3">
        <f>IF(B55&lt;assumptions!$E$50,assumptions!$D$48,assumptions!$D$50)</f>
        <v>0.21099999999999999</v>
      </c>
      <c r="Y55" s="3">
        <f>IF(B55&lt;assumptions!$E$53,0,assumptions!$D$53)</f>
        <v>0</v>
      </c>
      <c r="Z55" s="66">
        <f>IF(T55="n/a",0,IF(T55&gt;0,(R55-IF(Summary!$D$15="LGPS",'Phased costs'!O55,IF(Summary!$D$15="USS",'Phased costs'!P55,Q55))*T55),0))</f>
        <v>0</v>
      </c>
      <c r="AA55" s="5">
        <f t="shared" si="7"/>
        <v>0</v>
      </c>
      <c r="AB55" s="20">
        <f>IF(T55="n/a",0,IF(Summary!$D$9="Shared Parental",VLOOKUP(A55,assumptions!$F$28:$G$29,2,TRUE)*-0.92,VLOOKUP(A55,assumptions!$F$22:$G$24,2,TRUE)*-0.92))</f>
        <v>0</v>
      </c>
      <c r="AC55" s="21">
        <f t="shared" si="10"/>
        <v>0</v>
      </c>
      <c r="AE55" s="5" t="e">
        <f>B55&gt;=Summary!#REF!</f>
        <v>#REF!</v>
      </c>
      <c r="AF55" s="5" t="e">
        <f>B55&lt;(Summary!#REF!+Summary!#REF!*7)</f>
        <v>#REF!</v>
      </c>
      <c r="AH55" s="104">
        <f>IF($B55&gt;assumptions!$F$59,assumptions!$D$60,assumptions!$D$59)</f>
        <v>9100</v>
      </c>
      <c r="AI55" s="65">
        <f>IF($B55&gt;assumptions!$F$59,assumptions!$D$56,assumptions!$D$55)</f>
        <v>0.13800000000000001</v>
      </c>
    </row>
    <row r="56" spans="1:35" x14ac:dyDescent="0.3">
      <c r="A56" s="1">
        <f t="shared" si="8"/>
        <v>50</v>
      </c>
      <c r="B56" s="17">
        <f t="shared" si="9"/>
        <v>343</v>
      </c>
      <c r="C56" s="107">
        <f t="shared" si="0"/>
        <v>1900</v>
      </c>
      <c r="D56" s="17">
        <f t="shared" si="2"/>
        <v>213</v>
      </c>
      <c r="E56" s="17" t="str">
        <f>IF(B56&lt;assumptions!$D$82,assumptions!$E$82,IF('Phased costs'!B56&lt;assumptions!$D$83,assumptions!$E$83,IF('Phased costs'!B56&lt;assumptions!$D$84,assumptions!$E$84,IF(B56&lt;assumptions!$D$85,assumptions!$E$85))))</f>
        <v>2024/25</v>
      </c>
      <c r="F56" s="17"/>
      <c r="G56" s="5">
        <f>+Summary!$D$7/52</f>
        <v>0</v>
      </c>
      <c r="H56" s="5">
        <f>IF((G56-AH56/52)&gt;0,('Phased costs'!G56-AH56/52)*AI56,0)</f>
        <v>0</v>
      </c>
      <c r="I56" s="5">
        <f t="shared" si="3"/>
        <v>0</v>
      </c>
      <c r="J56" s="3">
        <f>IF(B56&lt;assumptions!$E$52,assumptions!$D$51,assumptions!$D$52)</f>
        <v>0.22600000000000001</v>
      </c>
      <c r="K56" s="3">
        <f>IF(B56&lt;assumptions!$E$50,assumptions!$D$48,assumptions!$D$50)</f>
        <v>0.21099999999999999</v>
      </c>
      <c r="L56" s="3">
        <f>IF(B56&lt;assumptions!$E$53,0,assumptions!$D$53)</f>
        <v>0</v>
      </c>
      <c r="M56" s="5">
        <f>IF(Summary!$D$15="LGPS",'Phased costs'!J56*'Phased costs'!G56,IF(Summary!$D$15="USS",'Phased costs'!K56*'Phased costs'!G56,L56*'Phased costs'!G56))</f>
        <v>0</v>
      </c>
      <c r="N56" s="20">
        <f t="shared" si="4"/>
        <v>0</v>
      </c>
      <c r="O56" s="65">
        <f>VLOOKUP(Summary!$D$7,assumptions!$D$76:$E$78,2,TRUE)</f>
        <v>5.5E-2</v>
      </c>
      <c r="P56" s="65">
        <f>IF(B56&lt;assumptions!$E$48,assumptions!$D$73,assumptions!$D$75)</f>
        <v>9.6000000000000002E-2</v>
      </c>
      <c r="Q56" s="65">
        <f>assumptions!$E$79</f>
        <v>0.06</v>
      </c>
      <c r="R56" s="66">
        <f>IF(Summary!$D$15="LGPS",'Phased costs'!O56,IF(Summary!$D$15="USS",'Phased costs'!P56,Q56))*G56</f>
        <v>0</v>
      </c>
      <c r="S56" s="17" t="str">
        <f>IF(A56&lt;=Summary!$D$13,"L","")</f>
        <v/>
      </c>
      <c r="T56" s="5" t="str">
        <f>IF(OR(Summary!$D$18="SMP",Summary!$D$18="SAP"),VLOOKUP(A56,assumptions!$F$22:$G$24,2,TRUE),IF(OR(Summary!$D$18="OMP/OShPP",Summary!$D$18="OAP"),VLOOKUP('Phased costs'!A56,assumptions!$F$33:$G$36,2,TRUE),IF(Summary!$D$18="ShPP",VLOOKUP(A56,assumptions!$F$28:$G$29,2,TRUE),"n/a")))</f>
        <v>n/a</v>
      </c>
      <c r="U56" s="5">
        <f>IF(T56="n/a",0,IF((T56-AH56/52)&gt;0,('Phased costs'!T56-AH56/52)*AI56,0))</f>
        <v>0</v>
      </c>
      <c r="V56" s="5">
        <f t="shared" si="6"/>
        <v>0</v>
      </c>
      <c r="W56" s="3">
        <f>IF(B56&lt;assumptions!$E$52,assumptions!$D$51,assumptions!$D$52)</f>
        <v>0.22600000000000001</v>
      </c>
      <c r="X56" s="3">
        <f>IF(B56&lt;assumptions!$E$50,assumptions!$D$48,assumptions!$D$50)</f>
        <v>0.21099999999999999</v>
      </c>
      <c r="Y56" s="3">
        <f>IF(B56&lt;assumptions!$E$53,0,assumptions!$D$53)</f>
        <v>0</v>
      </c>
      <c r="Z56" s="66">
        <f>IF(T56="n/a",0,IF(T56&gt;0,(R56-IF(Summary!$D$15="LGPS",'Phased costs'!O56,IF(Summary!$D$15="USS",'Phased costs'!P56,Q56))*T56),0))</f>
        <v>0</v>
      </c>
      <c r="AA56" s="5">
        <f t="shared" si="7"/>
        <v>0</v>
      </c>
      <c r="AB56" s="20">
        <f>IF(T56="n/a",0,IF(Summary!$D$9="Shared Parental",VLOOKUP(A56,assumptions!$F$28:$G$29,2,TRUE)*-0.92,VLOOKUP(A56,assumptions!$F$22:$G$24,2,TRUE)*-0.92))</f>
        <v>0</v>
      </c>
      <c r="AC56" s="21">
        <f t="shared" si="10"/>
        <v>0</v>
      </c>
      <c r="AE56" s="5" t="e">
        <f>B56&gt;=Summary!#REF!</f>
        <v>#REF!</v>
      </c>
      <c r="AF56" s="5" t="e">
        <f>B56&lt;(Summary!#REF!+Summary!#REF!*7)</f>
        <v>#REF!</v>
      </c>
      <c r="AH56" s="104">
        <f>IF($B56&gt;assumptions!$F$59,assumptions!$D$60,assumptions!$D$59)</f>
        <v>9100</v>
      </c>
      <c r="AI56" s="65">
        <f>IF($B56&gt;assumptions!$F$59,assumptions!$D$56,assumptions!$D$55)</f>
        <v>0.13800000000000001</v>
      </c>
    </row>
    <row r="57" spans="1:35" x14ac:dyDescent="0.3">
      <c r="A57" s="1">
        <f t="shared" si="8"/>
        <v>51</v>
      </c>
      <c r="B57" s="17">
        <f t="shared" si="9"/>
        <v>350</v>
      </c>
      <c r="C57" s="107">
        <f t="shared" si="0"/>
        <v>1900</v>
      </c>
      <c r="D57" s="17">
        <f t="shared" si="2"/>
        <v>213</v>
      </c>
      <c r="E57" s="17" t="str">
        <f>IF(B57&lt;assumptions!$D$82,assumptions!$E$82,IF('Phased costs'!B57&lt;assumptions!$D$83,assumptions!$E$83,IF('Phased costs'!B57&lt;assumptions!$D$84,assumptions!$E$84,IF(B57&lt;assumptions!$D$85,assumptions!$E$85))))</f>
        <v>2024/25</v>
      </c>
      <c r="F57" s="17"/>
      <c r="G57" s="5">
        <f>+Summary!$D$7/52</f>
        <v>0</v>
      </c>
      <c r="H57" s="5">
        <f>IF((G57-AH57/52)&gt;0,('Phased costs'!G57-AH57/52)*AI57,0)</f>
        <v>0</v>
      </c>
      <c r="I57" s="5">
        <f t="shared" si="3"/>
        <v>0</v>
      </c>
      <c r="J57" s="3">
        <f>IF(B57&lt;assumptions!$E$52,assumptions!$D$51,assumptions!$D$52)</f>
        <v>0.22600000000000001</v>
      </c>
      <c r="K57" s="3">
        <f>IF(B57&lt;assumptions!$E$50,assumptions!$D$48,assumptions!$D$50)</f>
        <v>0.21099999999999999</v>
      </c>
      <c r="L57" s="3">
        <f>IF(B57&lt;assumptions!$E$53,0,assumptions!$D$53)</f>
        <v>0</v>
      </c>
      <c r="M57" s="5">
        <f>IF(Summary!$D$15="LGPS",'Phased costs'!J57*'Phased costs'!G57,IF(Summary!$D$15="USS",'Phased costs'!K57*'Phased costs'!G57,L57*'Phased costs'!G57))</f>
        <v>0</v>
      </c>
      <c r="N57" s="20">
        <f t="shared" si="4"/>
        <v>0</v>
      </c>
      <c r="O57" s="65">
        <f>VLOOKUP(Summary!$D$7,assumptions!$D$76:$E$78,2,TRUE)</f>
        <v>5.5E-2</v>
      </c>
      <c r="P57" s="65">
        <f>IF(B57&lt;assumptions!$E$48,assumptions!$D$73,assumptions!$D$75)</f>
        <v>9.6000000000000002E-2</v>
      </c>
      <c r="Q57" s="65">
        <f>assumptions!$E$79</f>
        <v>0.06</v>
      </c>
      <c r="R57" s="66">
        <f>IF(Summary!$D$15="LGPS",'Phased costs'!O57,IF(Summary!$D$15="USS",'Phased costs'!P57,Q57))*G57</f>
        <v>0</v>
      </c>
      <c r="S57" s="17" t="str">
        <f>IF(A57&lt;=Summary!$D$13,"L","")</f>
        <v/>
      </c>
      <c r="T57" s="5" t="str">
        <f>IF(OR(Summary!$D$18="SMP",Summary!$D$18="SAP"),VLOOKUP(A57,assumptions!$F$22:$G$24,2,TRUE),IF(OR(Summary!$D$18="OMP/OShPP",Summary!$D$18="OAP"),VLOOKUP('Phased costs'!A57,assumptions!$F$33:$G$36,2,TRUE),IF(Summary!$D$18="ShPP",VLOOKUP(A57,assumptions!$F$28:$G$29,2,TRUE),"n/a")))</f>
        <v>n/a</v>
      </c>
      <c r="U57" s="5">
        <f>IF(T57="n/a",0,IF((T57-AH57/52)&gt;0,('Phased costs'!T57-AH57/52)*AI57,0))</f>
        <v>0</v>
      </c>
      <c r="V57" s="5">
        <f t="shared" si="6"/>
        <v>0</v>
      </c>
      <c r="W57" s="3">
        <f>IF(B57&lt;assumptions!$E$52,assumptions!$D$51,assumptions!$D$52)</f>
        <v>0.22600000000000001</v>
      </c>
      <c r="X57" s="3">
        <f>IF(B57&lt;assumptions!$E$50,assumptions!$D$48,assumptions!$D$50)</f>
        <v>0.21099999999999999</v>
      </c>
      <c r="Y57" s="3">
        <f>IF(B57&lt;assumptions!$E$53,0,assumptions!$D$53)</f>
        <v>0</v>
      </c>
      <c r="Z57" s="66">
        <f>IF(T57="n/a",0,IF(T57&gt;0,(R57-IF(Summary!$D$15="LGPS",'Phased costs'!O57,IF(Summary!$D$15="USS",'Phased costs'!P57,Q57))*T57),0))</f>
        <v>0</v>
      </c>
      <c r="AA57" s="5">
        <f t="shared" si="7"/>
        <v>0</v>
      </c>
      <c r="AB57" s="20">
        <f>IF(T57="n/a",0,IF(Summary!$D$9="Shared Parental",VLOOKUP(A57,assumptions!$F$28:$G$29,2,TRUE)*-0.92,VLOOKUP(A57,assumptions!$F$22:$G$24,2,TRUE)*-0.92))</f>
        <v>0</v>
      </c>
      <c r="AC57" s="21">
        <f t="shared" si="10"/>
        <v>0</v>
      </c>
      <c r="AE57" s="5" t="e">
        <f>B57&gt;=Summary!#REF!</f>
        <v>#REF!</v>
      </c>
      <c r="AF57" s="5" t="e">
        <f>B57&lt;(Summary!#REF!+Summary!#REF!*7)</f>
        <v>#REF!</v>
      </c>
      <c r="AH57" s="104">
        <f>IF($B57&gt;assumptions!$F$59,assumptions!$D$60,assumptions!$D$59)</f>
        <v>9100</v>
      </c>
      <c r="AI57" s="65">
        <f>IF($B57&gt;assumptions!$F$59,assumptions!$D$56,assumptions!$D$55)</f>
        <v>0.13800000000000001</v>
      </c>
    </row>
    <row r="58" spans="1:35" x14ac:dyDescent="0.3">
      <c r="A58" s="1">
        <f t="shared" si="8"/>
        <v>52</v>
      </c>
      <c r="B58" s="17">
        <f t="shared" si="9"/>
        <v>357</v>
      </c>
      <c r="C58" s="107">
        <f t="shared" si="0"/>
        <v>1900</v>
      </c>
      <c r="D58" s="17">
        <f t="shared" si="2"/>
        <v>213</v>
      </c>
      <c r="E58" s="17" t="str">
        <f>IF(B58&lt;assumptions!$D$82,assumptions!$E$82,IF('Phased costs'!B58&lt;assumptions!$D$83,assumptions!$E$83,IF('Phased costs'!B58&lt;assumptions!$D$84,assumptions!$E$84,IF(B58&lt;assumptions!$D$85,assumptions!$E$85))))</f>
        <v>2024/25</v>
      </c>
      <c r="F58" s="17"/>
      <c r="G58" s="5">
        <f>+Summary!$D$7/52</f>
        <v>0</v>
      </c>
      <c r="H58" s="5">
        <f>IF((G58-AH58/52)&gt;0,('Phased costs'!G58-AH58/52)*AI58,0)</f>
        <v>0</v>
      </c>
      <c r="I58" s="5">
        <f t="shared" si="3"/>
        <v>0</v>
      </c>
      <c r="J58" s="3">
        <f>IF(B58&lt;assumptions!$E$52,assumptions!$D$51,assumptions!$D$52)</f>
        <v>0.22600000000000001</v>
      </c>
      <c r="K58" s="3">
        <f>IF(B58&lt;assumptions!$E$50,assumptions!$D$48,assumptions!$D$50)</f>
        <v>0.21099999999999999</v>
      </c>
      <c r="L58" s="3">
        <f>IF(B58&lt;assumptions!$E$53,0,assumptions!$D$53)</f>
        <v>0</v>
      </c>
      <c r="M58" s="5">
        <f>IF(Summary!$D$15="LGPS",'Phased costs'!J58*'Phased costs'!G58,IF(Summary!$D$15="USS",'Phased costs'!K58*'Phased costs'!G58,L58*'Phased costs'!G58))</f>
        <v>0</v>
      </c>
      <c r="N58" s="20">
        <f t="shared" si="4"/>
        <v>0</v>
      </c>
      <c r="O58" s="65">
        <f>VLOOKUP(Summary!$D$7,assumptions!$D$76:$E$78,2,TRUE)</f>
        <v>5.5E-2</v>
      </c>
      <c r="P58" s="65">
        <f>IF(B58&lt;assumptions!$E$48,assumptions!$D$73,assumptions!$D$75)</f>
        <v>9.6000000000000002E-2</v>
      </c>
      <c r="Q58" s="65">
        <f>assumptions!$E$79</f>
        <v>0.06</v>
      </c>
      <c r="R58" s="66">
        <f>IF(Summary!$D$15="LGPS",'Phased costs'!O58,IF(Summary!$D$15="USS",'Phased costs'!P58,Q58))*G58</f>
        <v>0</v>
      </c>
      <c r="S58" s="17" t="str">
        <f>IF(A58&lt;=Summary!$D$13,"L","")</f>
        <v/>
      </c>
      <c r="T58" s="5" t="str">
        <f>IF(OR(Summary!$D$18="SMP",Summary!$D$18="SAP"),VLOOKUP(A58,assumptions!$F$22:$G$24,2,TRUE),IF(OR(Summary!$D$18="OMP/OShPP",Summary!$D$18="OAP"),VLOOKUP('Phased costs'!A58,assumptions!$F$33:$G$36,2,TRUE),IF(Summary!$D$18="ShPP",VLOOKUP(A58,assumptions!$F$28:$G$29,2,TRUE),"n/a")))</f>
        <v>n/a</v>
      </c>
      <c r="U58" s="5">
        <f>IF(T58="n/a",0,IF((T58-AH58/52)&gt;0,('Phased costs'!T58-AH58/52)*AI58,0))</f>
        <v>0</v>
      </c>
      <c r="V58" s="5">
        <f t="shared" si="6"/>
        <v>0</v>
      </c>
      <c r="W58" s="3">
        <f>IF(B58&lt;assumptions!$E$52,assumptions!$D$51,assumptions!$D$52)</f>
        <v>0.22600000000000001</v>
      </c>
      <c r="X58" s="3">
        <f>IF(B58&lt;assumptions!$E$50,assumptions!$D$48,assumptions!$D$50)</f>
        <v>0.21099999999999999</v>
      </c>
      <c r="Y58" s="3">
        <f>IF(B58&lt;assumptions!$E$53,0,assumptions!$D$53)</f>
        <v>0</v>
      </c>
      <c r="Z58" s="66">
        <f>IF(T58="n/a",0,IF(T58&gt;0,(R58-IF(Summary!$D$15="LGPS",'Phased costs'!O58,IF(Summary!$D$15="USS",'Phased costs'!P58,Q58))*T58),0))</f>
        <v>0</v>
      </c>
      <c r="AA58" s="5">
        <f t="shared" si="7"/>
        <v>0</v>
      </c>
      <c r="AB58" s="20">
        <f>IF(T58="n/a",0,IF(Summary!$D$9="Shared Parental",VLOOKUP(A58,assumptions!$F$28:$G$29,2,TRUE)*-0.92,VLOOKUP(A58,assumptions!$F$22:$G$24,2,TRUE)*-0.92))</f>
        <v>0</v>
      </c>
      <c r="AC58" s="21">
        <f t="shared" si="10"/>
        <v>0</v>
      </c>
      <c r="AE58" s="5" t="e">
        <f>B58&gt;=Summary!#REF!</f>
        <v>#REF!</v>
      </c>
      <c r="AF58" s="5" t="e">
        <f>B58&lt;(Summary!#REF!+Summary!#REF!*7)</f>
        <v>#REF!</v>
      </c>
      <c r="AH58" s="104">
        <f>IF($B58&gt;assumptions!$F$59,assumptions!$D$60,assumptions!$D$59)</f>
        <v>9100</v>
      </c>
      <c r="AI58" s="65">
        <f>IF($B58&gt;assumptions!$F$59,assumptions!$D$56,assumptions!$D$55)</f>
        <v>0.13800000000000001</v>
      </c>
    </row>
    <row r="59" spans="1:35" x14ac:dyDescent="0.3">
      <c r="A59" s="1">
        <f t="shared" si="8"/>
        <v>53</v>
      </c>
      <c r="B59" s="17">
        <f t="shared" si="9"/>
        <v>364</v>
      </c>
      <c r="C59" s="107">
        <f t="shared" si="0"/>
        <v>1900</v>
      </c>
      <c r="D59" s="17">
        <f t="shared" si="2"/>
        <v>213</v>
      </c>
      <c r="E59" s="17" t="str">
        <f>IF(B59&lt;assumptions!$D$82,assumptions!$E$82,IF('Phased costs'!B59&lt;assumptions!$D$83,assumptions!$E$83,IF('Phased costs'!B59&lt;assumptions!$D$84,assumptions!$E$84,IF(B59&lt;assumptions!$D$85,assumptions!$E$85))))</f>
        <v>2024/25</v>
      </c>
      <c r="F59" s="17"/>
      <c r="G59" s="5"/>
      <c r="H59" s="5"/>
      <c r="I59" s="5"/>
      <c r="J59" s="3"/>
      <c r="K59" s="3"/>
      <c r="L59" s="3"/>
      <c r="M59" s="5"/>
      <c r="N59" s="20"/>
      <c r="O59" s="62"/>
      <c r="P59" s="62"/>
      <c r="Q59" s="65"/>
      <c r="R59" s="66"/>
      <c r="S59" s="17"/>
      <c r="T59" s="5"/>
      <c r="U59" s="5"/>
      <c r="V59" s="5"/>
      <c r="W59" s="3"/>
      <c r="X59" s="3"/>
      <c r="Y59" s="3"/>
      <c r="Z59" s="66"/>
      <c r="AA59" s="5"/>
      <c r="AB59" s="20"/>
      <c r="AC59" s="21"/>
      <c r="AE59" s="5"/>
      <c r="AF59" s="5"/>
      <c r="AH59" s="104"/>
      <c r="AI59" s="65"/>
    </row>
    <row r="60" spans="1:35" x14ac:dyDescent="0.3">
      <c r="A60" s="1">
        <f t="shared" si="8"/>
        <v>54</v>
      </c>
      <c r="B60" s="17">
        <f t="shared" si="9"/>
        <v>371</v>
      </c>
      <c r="C60" s="107">
        <f t="shared" si="0"/>
        <v>1901</v>
      </c>
      <c r="D60" s="17">
        <f t="shared" si="2"/>
        <v>578</v>
      </c>
      <c r="E60" s="17" t="str">
        <f>IF(B60&lt;assumptions!$D$82,assumptions!$E$82,IF('Phased costs'!B60&lt;assumptions!$D$83,assumptions!$E$83,IF('Phased costs'!B60&lt;assumptions!$D$84,assumptions!$E$84,IF(B60&lt;assumptions!$D$85,assumptions!$E$85))))</f>
        <v>2024/25</v>
      </c>
      <c r="F60" s="17"/>
      <c r="G60" s="5"/>
      <c r="H60" s="5"/>
      <c r="I60" s="5"/>
      <c r="J60" s="3"/>
      <c r="K60" s="3"/>
      <c r="L60" s="3"/>
      <c r="M60" s="5"/>
      <c r="N60" s="20"/>
      <c r="O60" s="62"/>
      <c r="P60" s="62"/>
      <c r="Q60" s="65"/>
      <c r="R60" s="66"/>
      <c r="S60" s="17"/>
      <c r="T60" s="5"/>
      <c r="U60" s="5"/>
      <c r="V60" s="5"/>
      <c r="W60" s="3"/>
      <c r="X60" s="3"/>
      <c r="Y60" s="3"/>
      <c r="Z60" s="66"/>
      <c r="AA60" s="5"/>
      <c r="AB60" s="20"/>
      <c r="AC60" s="21"/>
      <c r="AE60" s="5"/>
      <c r="AF60" s="5"/>
      <c r="AH60" s="104"/>
      <c r="AI60" s="65"/>
    </row>
    <row r="61" spans="1:35" x14ac:dyDescent="0.3">
      <c r="A61" s="1">
        <f t="shared" si="8"/>
        <v>55</v>
      </c>
      <c r="B61" s="17">
        <f t="shared" si="9"/>
        <v>378</v>
      </c>
      <c r="C61" s="107">
        <f t="shared" si="0"/>
        <v>1901</v>
      </c>
      <c r="D61" s="17">
        <f t="shared" si="2"/>
        <v>578</v>
      </c>
      <c r="E61" s="17" t="str">
        <f>IF(B61&lt;assumptions!$D$82,assumptions!$E$82,IF('Phased costs'!B61&lt;assumptions!$D$83,assumptions!$E$83,IF('Phased costs'!B61&lt;assumptions!$D$84,assumptions!$E$84,IF(B61&lt;assumptions!$D$85,assumptions!$E$85))))</f>
        <v>2024/25</v>
      </c>
      <c r="F61" s="17"/>
      <c r="G61" s="5"/>
      <c r="H61" s="5"/>
      <c r="I61" s="5"/>
      <c r="J61" s="3"/>
      <c r="K61" s="3"/>
      <c r="L61" s="3"/>
      <c r="M61" s="5"/>
      <c r="N61" s="20"/>
      <c r="O61" s="62"/>
      <c r="P61" s="62"/>
      <c r="Q61" s="65"/>
      <c r="R61" s="66"/>
      <c r="S61" s="17"/>
      <c r="T61" s="5"/>
      <c r="U61" s="5"/>
      <c r="V61" s="5"/>
      <c r="W61" s="3"/>
      <c r="X61" s="3"/>
      <c r="Y61" s="3"/>
      <c r="Z61" s="66"/>
      <c r="AA61" s="5"/>
      <c r="AB61" s="20"/>
      <c r="AC61" s="21"/>
      <c r="AE61" s="5"/>
      <c r="AF61" s="5"/>
      <c r="AH61" s="104"/>
      <c r="AI61" s="65"/>
    </row>
    <row r="62" spans="1:35" x14ac:dyDescent="0.3">
      <c r="A62" s="1">
        <f t="shared" si="8"/>
        <v>56</v>
      </c>
      <c r="B62" s="17">
        <f t="shared" si="9"/>
        <v>385</v>
      </c>
      <c r="C62" s="107">
        <f t="shared" si="0"/>
        <v>1901</v>
      </c>
      <c r="D62" s="17">
        <f t="shared" si="2"/>
        <v>578</v>
      </c>
      <c r="E62" s="17" t="str">
        <f>IF(B62&lt;assumptions!$D$82,assumptions!$E$82,IF('Phased costs'!B62&lt;assumptions!$D$83,assumptions!$E$83,IF('Phased costs'!B62&lt;assumptions!$D$84,assumptions!$E$84,IF(B62&lt;assumptions!$D$85,assumptions!$E$85))))</f>
        <v>2024/25</v>
      </c>
      <c r="F62" s="17"/>
      <c r="G62" s="5"/>
      <c r="H62" s="5"/>
      <c r="I62" s="5"/>
      <c r="J62" s="3"/>
      <c r="K62" s="3"/>
      <c r="L62" s="3"/>
      <c r="M62" s="5"/>
      <c r="N62" s="20"/>
      <c r="O62" s="62"/>
      <c r="P62" s="62"/>
      <c r="Q62" s="65"/>
      <c r="R62" s="66"/>
      <c r="S62" s="17"/>
      <c r="T62" s="5"/>
      <c r="U62" s="5"/>
      <c r="V62" s="5"/>
      <c r="W62" s="3"/>
      <c r="X62" s="3"/>
      <c r="Y62" s="3"/>
      <c r="Z62" s="66"/>
      <c r="AA62" s="5"/>
      <c r="AB62" s="20"/>
      <c r="AC62" s="21"/>
      <c r="AE62" s="5"/>
      <c r="AF62" s="5"/>
      <c r="AH62" s="104"/>
      <c r="AI62" s="65"/>
    </row>
    <row r="63" spans="1:35" x14ac:dyDescent="0.3">
      <c r="R63" s="63"/>
      <c r="AE63" s="5"/>
      <c r="AF63" s="5"/>
      <c r="AI63" s="65"/>
    </row>
    <row r="64" spans="1:35" x14ac:dyDescent="0.3">
      <c r="G64" s="23">
        <f t="shared" ref="G64:N64" si="11">SUM(G7:G59)</f>
        <v>0</v>
      </c>
      <c r="H64" s="23">
        <f t="shared" si="11"/>
        <v>0</v>
      </c>
      <c r="I64" s="23">
        <f t="shared" si="11"/>
        <v>0</v>
      </c>
      <c r="J64" s="23">
        <f t="shared" si="11"/>
        <v>11.752000000000015</v>
      </c>
      <c r="K64" s="23">
        <f t="shared" si="11"/>
        <v>10.972000000000008</v>
      </c>
      <c r="L64" s="23">
        <f t="shared" si="11"/>
        <v>0</v>
      </c>
      <c r="M64" s="23">
        <f>SUM(M7:M59)</f>
        <v>0</v>
      </c>
      <c r="N64" s="23">
        <f t="shared" si="11"/>
        <v>0</v>
      </c>
      <c r="O64" s="64"/>
      <c r="P64" s="64"/>
      <c r="Q64" s="64"/>
      <c r="R64" s="64"/>
      <c r="T64" s="23">
        <f>SUM(T7:T62)</f>
        <v>0</v>
      </c>
      <c r="U64" s="23">
        <f t="shared" ref="U64:AC64" si="12">SUM(U7:U62)</f>
        <v>0</v>
      </c>
      <c r="V64" s="23">
        <f t="shared" si="12"/>
        <v>0</v>
      </c>
      <c r="W64" s="23"/>
      <c r="X64" s="23"/>
      <c r="Y64" s="23"/>
      <c r="Z64" s="23">
        <f t="shared" si="12"/>
        <v>0</v>
      </c>
      <c r="AA64" s="23">
        <f t="shared" si="12"/>
        <v>0</v>
      </c>
      <c r="AB64" s="23">
        <f t="shared" si="12"/>
        <v>0</v>
      </c>
      <c r="AC64" s="23">
        <f t="shared" si="12"/>
        <v>0</v>
      </c>
      <c r="AE64" s="5"/>
      <c r="AF64" s="5"/>
      <c r="AH64" s="64"/>
      <c r="AI64" s="65"/>
    </row>
    <row r="65" spans="31:35" x14ac:dyDescent="0.3">
      <c r="AE65" s="5"/>
      <c r="AF65" s="5"/>
      <c r="AI65" s="65"/>
    </row>
    <row r="66" spans="31:35" x14ac:dyDescent="0.3">
      <c r="AE66" s="5"/>
      <c r="AF66" s="5"/>
      <c r="AI66" s="65"/>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E30A655DECCE4FAD89F6E2E570A9AA" ma:contentTypeVersion="6" ma:contentTypeDescription="Create a new document." ma:contentTypeScope="" ma:versionID="789acb691c7706433d09d007b446aa21">
  <xsd:schema xmlns:xsd="http://www.w3.org/2001/XMLSchema" xmlns:xs="http://www.w3.org/2001/XMLSchema" xmlns:p="http://schemas.microsoft.com/office/2006/metadata/properties" xmlns:ns3="7d3d8430-fc7f-4e16-985a-5017edfa0425" xmlns:ns4="df5b5dcf-bf1c-4777-bf46-e8a0b5c0d145" targetNamespace="http://schemas.microsoft.com/office/2006/metadata/properties" ma:root="true" ma:fieldsID="9c02f421587e3cac3f121e517348fd3a" ns3:_="" ns4:_="">
    <xsd:import namespace="7d3d8430-fc7f-4e16-985a-5017edfa0425"/>
    <xsd:import namespace="df5b5dcf-bf1c-4777-bf46-e8a0b5c0d145"/>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d8430-fc7f-4e16-985a-5017edfa042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5b5dcf-bf1c-4777-bf46-e8a0b5c0d14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d3d8430-fc7f-4e16-985a-5017edfa04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79CA1-6DAE-4549-981A-6E2BB9F12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d8430-fc7f-4e16-985a-5017edfa0425"/>
    <ds:schemaRef ds:uri="df5b5dcf-bf1c-4777-bf46-e8a0b5c0d1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E0541-F854-4A9A-80EE-DD7E0808A2E2}">
  <ds:schemaRefs>
    <ds:schemaRef ds:uri="http://purl.org/dc/elements/1.1/"/>
    <ds:schemaRef ds:uri="http://schemas.microsoft.com/office/2006/documentManagement/types"/>
    <ds:schemaRef ds:uri="http://purl.org/dc/dcmitype/"/>
    <ds:schemaRef ds:uri="http://purl.org/dc/terms/"/>
    <ds:schemaRef ds:uri="df5b5dcf-bf1c-4777-bf46-e8a0b5c0d145"/>
    <ds:schemaRef ds:uri="7d3d8430-fc7f-4e16-985a-5017edfa0425"/>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0E0CD6D-3367-4978-AE65-D5398CFB0C01}">
  <ds:schemaRefs>
    <ds:schemaRef ds:uri="http://schemas.microsoft.com/sharepoint/v3/contenttype/forms"/>
  </ds:schemaRefs>
</ds:datastoreItem>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Notes</vt:lpstr>
      <vt:lpstr>assumptions</vt:lpstr>
      <vt:lpstr>Useful Links</vt:lpstr>
      <vt:lpstr>Phased costs</vt:lpstr>
    </vt:vector>
  </TitlesOfParts>
  <Company>University of Bath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Thurbin</dc:creator>
  <cp:lastModifiedBy>Sally Thurbin</cp:lastModifiedBy>
  <cp:lastPrinted>2021-04-13T10:24:27Z</cp:lastPrinted>
  <dcterms:created xsi:type="dcterms:W3CDTF">2015-12-14T12:05:39Z</dcterms:created>
  <dcterms:modified xsi:type="dcterms:W3CDTF">2025-05-08T08:54:42Z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0x01010060E30A655DECCE4FAD89F6E2E570A9AA</vt:lpwstr>
  </property>
</Properties>
</file>